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320" windowWidth="5040" windowHeight="4350" tabRatio="721" activeTab="0"/>
  </bookViews>
  <sheets>
    <sheet name="賃貸1" sheetId="1" r:id="rId1"/>
    <sheet name="賃貸" sheetId="2" state="hidden" r:id="rId2"/>
    <sheet name="賃貸土地" sheetId="3" state="hidden" r:id="rId3"/>
    <sheet name="賃貸駐車場" sheetId="4" state="hidden" r:id="rId4"/>
    <sheet name="売買マンション" sheetId="5" state="hidden" r:id="rId5"/>
    <sheet name="売買戸建" sheetId="6" state="hidden" r:id="rId6"/>
    <sheet name="売買土地" sheetId="7" state="hidden" r:id="rId7"/>
  </sheets>
  <definedNames>
    <definedName name="_xlnm.Print_Area" localSheetId="1">'賃貸'!$A$1:$AO$47</definedName>
    <definedName name="_xlnm.Print_Area" localSheetId="0">'賃貸1'!$A$1:$AO$47</definedName>
    <definedName name="_xlnm.Print_Area" localSheetId="3">'賃貸駐車場'!$A$1:$AO$47</definedName>
    <definedName name="_xlnm.Print_Area" localSheetId="2">'賃貸土地'!$A$1:$AO$47</definedName>
    <definedName name="_xlnm.Print_Area" localSheetId="4">'売買マンション'!$A$1:$AO$47</definedName>
    <definedName name="_xlnm.Print_Area" localSheetId="5">'売買戸建'!$A$1:$AO$47</definedName>
    <definedName name="_xlnm.Print_Area" localSheetId="6">'売買土地'!$A$1:$AO$47</definedName>
    <definedName name="Z_7991147C_F710_47F3_9BB4_F527B53B8AF3_.wvu.Cols" localSheetId="5" hidden="1">'売買戸建'!$AP:$AP</definedName>
    <definedName name="Z_7991147C_F710_47F3_9BB4_F527B53B8AF3_.wvu.Cols" localSheetId="6" hidden="1">'売買土地'!$AP:$AP</definedName>
    <definedName name="Z_7991147C_F710_47F3_9BB4_F527B53B8AF3_.wvu.PrintArea" localSheetId="6" hidden="1">'売買土地'!$A$1:$AP$47</definedName>
  </definedNames>
  <calcPr fullCalcOnLoad="1"/>
</workbook>
</file>

<file path=xl/sharedStrings.xml><?xml version="1.0" encoding="utf-8"?>
<sst xmlns="http://schemas.openxmlformats.org/spreadsheetml/2006/main" count="640" uniqueCount="280">
  <si>
    <t>備考</t>
  </si>
  <si>
    <t>所在</t>
  </si>
  <si>
    <t>土地</t>
  </si>
  <si>
    <t>地目</t>
  </si>
  <si>
    <t>地積</t>
  </si>
  <si>
    <t>接道状況</t>
  </si>
  <si>
    <t>権利</t>
  </si>
  <si>
    <t>都市計画</t>
  </si>
  <si>
    <t>用途地域</t>
  </si>
  <si>
    <t>建蔽率</t>
  </si>
  <si>
    <t>容積率</t>
  </si>
  <si>
    <t>建築条件</t>
  </si>
  <si>
    <t>設備</t>
  </si>
  <si>
    <t>物件コード</t>
  </si>
  <si>
    <t>名称</t>
  </si>
  <si>
    <t>構造</t>
  </si>
  <si>
    <t>現況</t>
  </si>
  <si>
    <t>建物</t>
  </si>
  <si>
    <t>専有面積</t>
  </si>
  <si>
    <t>バルコニー面積</t>
  </si>
  <si>
    <t>間取り</t>
  </si>
  <si>
    <t>向き</t>
  </si>
  <si>
    <t>総戸数</t>
  </si>
  <si>
    <t>現況</t>
  </si>
  <si>
    <t>土地</t>
  </si>
  <si>
    <t>権利</t>
  </si>
  <si>
    <t>都市計画</t>
  </si>
  <si>
    <t>用途地域</t>
  </si>
  <si>
    <t>国土法</t>
  </si>
  <si>
    <t>管理形態</t>
  </si>
  <si>
    <t>管理会社</t>
  </si>
  <si>
    <t>地目</t>
  </si>
  <si>
    <t>接道状況</t>
  </si>
  <si>
    <t>建蔽率</t>
  </si>
  <si>
    <t>容積率</t>
  </si>
  <si>
    <t>建築条件</t>
  </si>
  <si>
    <t>管理費・修繕積立金</t>
  </si>
  <si>
    <t>専有面積</t>
  </si>
  <si>
    <t>向き</t>
  </si>
  <si>
    <t>契約条件</t>
  </si>
  <si>
    <t>更新料</t>
  </si>
  <si>
    <t>契約期間</t>
  </si>
  <si>
    <t>取引態様</t>
  </si>
  <si>
    <t>手数料の負担割合</t>
  </si>
  <si>
    <t>貸主</t>
  </si>
  <si>
    <t>借主</t>
  </si>
  <si>
    <t>手数料の配分割合</t>
  </si>
  <si>
    <t>元付</t>
  </si>
  <si>
    <t>客付</t>
  </si>
  <si>
    <t>情報公開日</t>
  </si>
  <si>
    <t>人と住まいのベストマッチング</t>
  </si>
  <si>
    <t>私道負担（持分）</t>
  </si>
  <si>
    <t>手数料</t>
  </si>
  <si>
    <t>構造/階数</t>
  </si>
  <si>
    <t>所在階/階建</t>
  </si>
  <si>
    <t>備考</t>
  </si>
  <si>
    <t>www.homes.co.jp</t>
  </si>
  <si>
    <t>　</t>
  </si>
  <si>
    <t>契約条件</t>
  </si>
  <si>
    <t>賃料</t>
  </si>
  <si>
    <t>契約期間</t>
  </si>
  <si>
    <t>使用可能日</t>
  </si>
  <si>
    <t>賃料</t>
  </si>
  <si>
    <t>価格</t>
  </si>
  <si>
    <t>駐車場</t>
  </si>
  <si>
    <t>万円</t>
  </si>
  <si>
    <t>借地料</t>
  </si>
  <si>
    <t>借地期間</t>
  </si>
  <si>
    <t>管理</t>
  </si>
  <si>
    <t>私道面積(負担持分)</t>
  </si>
  <si>
    <t>建蔽率／容積率</t>
  </si>
  <si>
    <t>(期間・保証金)</t>
  </si>
  <si>
    <t>権利　（期間）
(借地料)</t>
  </si>
  <si>
    <t>借地期間</t>
  </si>
  <si>
    <t>図面と現況が異なる場合は現況を優先させていただきます</t>
  </si>
  <si>
    <t>　</t>
  </si>
  <si>
    <t>賃料（月額）</t>
  </si>
  <si>
    <t>手数料</t>
  </si>
  <si>
    <t>バス</t>
  </si>
  <si>
    <t>バス停</t>
  </si>
  <si>
    <t>徒歩</t>
  </si>
  <si>
    <t>詳細</t>
  </si>
  <si>
    <t>物件名</t>
  </si>
  <si>
    <t>専有面積</t>
  </si>
  <si>
    <t>所在階</t>
  </si>
  <si>
    <t>階建て</t>
  </si>
  <si>
    <t>共益・管理費</t>
  </si>
  <si>
    <t>礼金</t>
  </si>
  <si>
    <t>権利金</t>
  </si>
  <si>
    <t>敷金</t>
  </si>
  <si>
    <t>保証金</t>
  </si>
  <si>
    <t>償却</t>
  </si>
  <si>
    <t>更新料</t>
  </si>
  <si>
    <t>家財保険料</t>
  </si>
  <si>
    <t>駐車場金額</t>
  </si>
  <si>
    <t>手数料負担割合</t>
  </si>
  <si>
    <t>手数料配分割合</t>
  </si>
  <si>
    <t>物件種別</t>
  </si>
  <si>
    <t>全体間取</t>
  </si>
  <si>
    <t>沿線</t>
  </si>
  <si>
    <t>駅</t>
  </si>
  <si>
    <t>所在地</t>
  </si>
  <si>
    <t>構造</t>
  </si>
  <si>
    <t>向き</t>
  </si>
  <si>
    <t>完成年月</t>
  </si>
  <si>
    <t>償却時期</t>
  </si>
  <si>
    <t>保険期間</t>
  </si>
  <si>
    <t>契約期間</t>
  </si>
  <si>
    <t>契約種別</t>
  </si>
  <si>
    <t>現況</t>
  </si>
  <si>
    <t>入居可能日</t>
  </si>
  <si>
    <t>駐車場区分</t>
  </si>
  <si>
    <t>設備</t>
  </si>
  <si>
    <t>物件コード</t>
  </si>
  <si>
    <t>社名</t>
  </si>
  <si>
    <t>住所</t>
  </si>
  <si>
    <t>情報公開日</t>
  </si>
  <si>
    <t>特徴</t>
  </si>
  <si>
    <t>〒</t>
  </si>
  <si>
    <t>TEL</t>
  </si>
  <si>
    <t>FAX</t>
  </si>
  <si>
    <t>URL</t>
  </si>
  <si>
    <t>新築</t>
  </si>
  <si>
    <t>駐車場備考</t>
  </si>
  <si>
    <t>免許番号</t>
  </si>
  <si>
    <t>計測方式</t>
  </si>
  <si>
    <t>地目</t>
  </si>
  <si>
    <t>接道</t>
  </si>
  <si>
    <t>接道1</t>
  </si>
  <si>
    <t>接道2</t>
  </si>
  <si>
    <t>接道3</t>
  </si>
  <si>
    <t>接道4</t>
  </si>
  <si>
    <t>土地権利</t>
  </si>
  <si>
    <t>税金区分</t>
  </si>
  <si>
    <t>引渡し</t>
  </si>
  <si>
    <t>客付</t>
  </si>
  <si>
    <t>取引態様</t>
  </si>
  <si>
    <t>セットバック</t>
  </si>
  <si>
    <t>セットバック</t>
  </si>
  <si>
    <t>手数料負担割合</t>
  </si>
  <si>
    <t>手数料配分割合</t>
  </si>
  <si>
    <t>間取り図コメント</t>
  </si>
  <si>
    <t>画像１コメント</t>
  </si>
  <si>
    <t>画像2コメント</t>
  </si>
  <si>
    <t>間取り図コメント</t>
  </si>
  <si>
    <t>画像1コメント</t>
  </si>
  <si>
    <t>修繕積立金</t>
  </si>
  <si>
    <t>管理費</t>
  </si>
  <si>
    <t>税金</t>
  </si>
  <si>
    <t>価格</t>
  </si>
  <si>
    <t>バルコニー</t>
  </si>
  <si>
    <t>管理会社名</t>
  </si>
  <si>
    <t>間取り詳細</t>
  </si>
  <si>
    <t>国土法届出</t>
  </si>
  <si>
    <t>取引態様</t>
  </si>
  <si>
    <t>建蔽率／容積率</t>
  </si>
  <si>
    <t>地積（持分）</t>
  </si>
  <si>
    <t>述床面積</t>
  </si>
  <si>
    <t>土地持分</t>
  </si>
  <si>
    <t>私道面積</t>
  </si>
  <si>
    <t>負担持分</t>
  </si>
  <si>
    <t>土地面積</t>
  </si>
  <si>
    <t>駐車場区分</t>
  </si>
  <si>
    <t>駐車場料金</t>
  </si>
  <si>
    <t>区画面積</t>
  </si>
  <si>
    <t>借地料</t>
  </si>
  <si>
    <t>法令上の制限</t>
  </si>
  <si>
    <t>画像１コメント</t>
  </si>
  <si>
    <t>私道面積</t>
  </si>
  <si>
    <t>私道割合</t>
  </si>
  <si>
    <t>条件</t>
  </si>
  <si>
    <t>客付け</t>
  </si>
  <si>
    <t>条件</t>
  </si>
  <si>
    <t>法令上の制限</t>
  </si>
  <si>
    <t>坪単価</t>
  </si>
  <si>
    <t>定期借家権</t>
  </si>
  <si>
    <t>保証金</t>
  </si>
  <si>
    <t>共益費・管理費</t>
  </si>
  <si>
    <t>駐車場距離</t>
  </si>
  <si>
    <t>駐車場距離</t>
  </si>
  <si>
    <t>接道状況</t>
  </si>
  <si>
    <t>間取</t>
  </si>
  <si>
    <t>所在階/階建</t>
  </si>
  <si>
    <t>引渡</t>
  </si>
  <si>
    <t>入居可能日/現況</t>
  </si>
  <si>
    <t>礼金・権利金</t>
  </si>
  <si>
    <t>敷金・保証金</t>
  </si>
  <si>
    <t>礼金・権利金</t>
  </si>
  <si>
    <t>セットバック量</t>
  </si>
  <si>
    <t>地積</t>
  </si>
  <si>
    <t>築年月</t>
  </si>
  <si>
    <t>築年月</t>
  </si>
  <si>
    <t>築年月</t>
  </si>
  <si>
    <t>契約種別</t>
  </si>
  <si>
    <t>引渡</t>
  </si>
  <si>
    <t>物件コード</t>
  </si>
  <si>
    <t>画像2コメント</t>
  </si>
  <si>
    <t>都市計画</t>
  </si>
  <si>
    <t>セットバック</t>
  </si>
  <si>
    <t>駐車場備考</t>
  </si>
  <si>
    <t>セットバック</t>
  </si>
  <si>
    <t>延床面積</t>
  </si>
  <si>
    <t>地目</t>
  </si>
  <si>
    <t>駐車場空台数</t>
  </si>
  <si>
    <t>駐車場空台数</t>
  </si>
  <si>
    <t>償却・敷引金</t>
  </si>
  <si>
    <t>住宅保険料</t>
  </si>
  <si>
    <t>償却・敷引金</t>
  </si>
  <si>
    <t>償却・敷引金</t>
  </si>
  <si>
    <t>敷金</t>
  </si>
  <si>
    <t>バス</t>
  </si>
  <si>
    <t>間取</t>
  </si>
  <si>
    <t>契約種別</t>
  </si>
  <si>
    <t>〒</t>
  </si>
  <si>
    <t>TEL</t>
  </si>
  <si>
    <t>FAX</t>
  </si>
  <si>
    <t>URL</t>
  </si>
  <si>
    <t>マンション</t>
  </si>
  <si>
    <t>兵庫県姫路市飾磨区加茂東</t>
  </si>
  <si>
    <t>山陽電鉄本線</t>
  </si>
  <si>
    <t>飾磨駅</t>
  </si>
  <si>
    <t>RC</t>
  </si>
  <si>
    <t>1980/06</t>
  </si>
  <si>
    <t>中古</t>
  </si>
  <si>
    <t>南</t>
  </si>
  <si>
    <t>3LDK</t>
  </si>
  <si>
    <t>ペット飼育可能物件</t>
  </si>
  <si>
    <t>-</t>
  </si>
  <si>
    <t>退去時</t>
  </si>
  <si>
    <t>空有</t>
  </si>
  <si>
    <t>空家</t>
  </si>
  <si>
    <t>即時</t>
  </si>
  <si>
    <t>専任</t>
  </si>
  <si>
    <t>★</t>
  </si>
  <si>
    <t>公営水道/都市ガス/専用バス/専用トイレ/バス・トイレ別/シャワー/ガスコンロ/給湯/室内洗濯機置場/バルコニー</t>
  </si>
  <si>
    <t>ペット対応</t>
  </si>
  <si>
    <t>有限会社人気ホーム</t>
  </si>
  <si>
    <t xml:space="preserve">〒675-0064 </t>
  </si>
  <si>
    <t>兵庫県加古川市加古川町溝之口507-9 サンライズ加古川１Ｆ</t>
  </si>
  <si>
    <t>0794-26-6660</t>
  </si>
  <si>
    <t>0794-26-6650</t>
  </si>
  <si>
    <t>http://www.ninki-home.co.jp/</t>
  </si>
  <si>
    <t>兵庫県知事(1)第401185号</t>
  </si>
  <si>
    <t xml:space="preserve">          円</t>
  </si>
  <si>
    <t>賃貸アパート</t>
  </si>
  <si>
    <t>３ＤＫ</t>
  </si>
  <si>
    <t>姫路駅</t>
  </si>
  <si>
    <t>JR</t>
  </si>
  <si>
    <t>バス１５分</t>
  </si>
  <si>
    <t>Ｈ１１年　３月</t>
  </si>
  <si>
    <t>共益費</t>
  </si>
  <si>
    <t>３,０００円</t>
  </si>
  <si>
    <t>礼　金</t>
  </si>
  <si>
    <t>敷　金</t>
  </si>
  <si>
    <t>ニュールームクラブ</t>
  </si>
  <si>
    <t>４,８００円/２年</t>
  </si>
  <si>
    <t>空有</t>
  </si>
  <si>
    <t>鍵交換費</t>
  </si>
  <si>
    <t>ＴＥＬ　079-225-3456</t>
  </si>
  <si>
    <t>ＦＡＸ　079-225-3450</t>
  </si>
  <si>
    <t>１０,８００円</t>
  </si>
  <si>
    <t>普通賃貸借</t>
  </si>
  <si>
    <t>　２　年　（更新料20000円）</t>
  </si>
  <si>
    <t>２０,５００円/２年</t>
  </si>
  <si>
    <t xml:space="preserve"> 鉄 骨 Ａ Ｌ Ｃ</t>
  </si>
  <si>
    <t xml:space="preserve">  南</t>
  </si>
  <si>
    <t>　　　０　円</t>
  </si>
  <si>
    <t>５,０００円　+消費税</t>
  </si>
  <si>
    <t>　３DK</t>
  </si>
  <si>
    <t xml:space="preserve">
公営水道/都市ガス/専用バス/専用トイレ/バス・トイレ別/シャワー/給湯/室内洗濯機置場/バルコニー/３ヶ所給湯/ＢＳ/追焚/シャンプードレッサー/　　　　　　　　１Ｆ　庭　　２Ｆ　ベランダ</t>
  </si>
  <si>
    <t>図面と現況が異なる場合は現況を優先させていただきます</t>
  </si>
  <si>
    <t>〒670-0916</t>
  </si>
  <si>
    <t>兵庫県姫路市久保町１５５</t>
  </si>
  <si>
    <t>姫路市野里慶雲寺前町４－３</t>
  </si>
  <si>
    <t>ヴァンベール　B棟</t>
  </si>
  <si>
    <t xml:space="preserve"> １,２　　階　／２ 階建</t>
  </si>
  <si>
    <t>103号・・５２．６１㎡　　105.205号・・５３．５６㎡</t>
  </si>
  <si>
    <t xml:space="preserve">   ０　円</t>
  </si>
  <si>
    <t xml:space="preserve">  即</t>
  </si>
  <si>
    <r>
      <rPr>
        <sz val="10"/>
        <rFont val="ＭＳ Ｐゴシック"/>
        <family val="3"/>
      </rPr>
      <t>*旭化成賃貸サポート加入要（保証人なし）　　　</t>
    </r>
    <r>
      <rPr>
        <sz val="9"/>
        <rFont val="ＭＳ Ｐゴシック"/>
        <family val="3"/>
      </rPr>
      <t>　　　　　　　　　　　　　　　　　　　　　　　　　　　　　　　　　　　</t>
    </r>
    <r>
      <rPr>
        <sz val="8"/>
        <rFont val="ＭＳ Ｐゴシック"/>
        <family val="3"/>
      </rPr>
      <t>　*保証料：家賃、共益費、自治会費等、総額の５０％</t>
    </r>
    <r>
      <rPr>
        <sz val="9"/>
        <rFont val="ＭＳ Ｐゴシック"/>
        <family val="3"/>
      </rPr>
      <t>　</t>
    </r>
    <r>
      <rPr>
        <sz val="8"/>
        <rFont val="ＭＳ Ｐゴシック"/>
        <family val="3"/>
      </rPr>
      <t>更新料20,000円</t>
    </r>
    <r>
      <rPr>
        <sz val="9"/>
        <rFont val="ＭＳ Ｐゴシック"/>
        <family val="3"/>
      </rPr>
      <t>　　　　　　　　　　　　　  　　　　　　　　　　　　　　　　　　　　　　　　　　　　　　　　　　　　　　　　　　　　　　　　　　　　　</t>
    </r>
    <r>
      <rPr>
        <sz val="8"/>
        <rFont val="ＭＳ Ｐゴシック"/>
        <family val="3"/>
      </rPr>
      <t>　</t>
    </r>
    <r>
      <rPr>
        <sz val="10"/>
        <rFont val="ＭＳ Ｐゴシック"/>
        <family val="3"/>
      </rPr>
      <t>　*退去時のハウスクリーニング代は借主負担の特約あり　　</t>
    </r>
    <r>
      <rPr>
        <sz val="9"/>
        <rFont val="ＭＳ Ｐゴシック"/>
        <family val="3"/>
      </rPr>
      <t>　　　　　　　　　　　　　　　　　　　　　　　　　　　　　　　　　　</t>
    </r>
    <r>
      <rPr>
        <sz val="8"/>
        <rFont val="ＭＳ Ｐゴシック"/>
        <family val="3"/>
      </rPr>
      <t>　　　　　</t>
    </r>
    <r>
      <rPr>
        <sz val="9"/>
        <rFont val="ＭＳ Ｐゴシック"/>
        <family val="3"/>
      </rPr>
      <t>　　　　　　　　　　　　　　　　　　　　　　　　　　　</t>
    </r>
    <r>
      <rPr>
        <sz val="11"/>
        <rFont val="ＭＳ Ｐゴシック"/>
        <family val="3"/>
      </rPr>
      <t>　103</t>
    </r>
    <r>
      <rPr>
        <b/>
        <sz val="11"/>
        <rFont val="ＭＳ Ｐゴシック"/>
        <family val="3"/>
      </rPr>
      <t>号・・家賃４７,０００円　　　　　　　　　　　　　　　                                 　　　105205号・・家賃４９,０００円　　　　　　　　　　　　　　　　　　　　　　                                　　　　　　　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</si>
</sst>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&quot;No.&quot;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;@"/>
    <numFmt numFmtId="191" formatCode="0.00_ "/>
    <numFmt numFmtId="192" formatCode="0.0_ "/>
    <numFmt numFmtId="193" formatCode="0.00000_);[Red]\(0.00000\)"/>
    <numFmt numFmtId="194" formatCode="0.00_);[Red]\(0.00\)"/>
    <numFmt numFmtId="195" formatCode="#,##0_ "/>
    <numFmt numFmtId="196" formatCode="0.00_ &quot;㎡&quot;"/>
    <numFmt numFmtId="197" formatCode="0_ "/>
    <numFmt numFmtId="198" formatCode="#,##0_);[Red]\(#,##0\)"/>
    <numFmt numFmtId="199" formatCode="yyyy/mm"/>
    <numFmt numFmtId="200" formatCode="yyyy"/>
    <numFmt numFmtId="201" formatCode="[$-F800]dddd\,\ mmmm\ dd\,\ yyyy"/>
    <numFmt numFmtId="202" formatCode="yyyy&quot;年&quot;m&quot;月&quot;d&quot;日&quot;;@"/>
    <numFmt numFmtId="203" formatCode="[&lt;=999]000;[&lt;=99999]000\-00;000\-000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36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36"/>
      <color indexed="9"/>
      <name val="ＭＳ Ｐゴシック"/>
      <family val="3"/>
    </font>
    <font>
      <b/>
      <sz val="48"/>
      <color indexed="9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26"/>
      <name val="ＭＳ Ｐゴシック"/>
      <family val="3"/>
    </font>
    <font>
      <sz val="48"/>
      <color indexed="9"/>
      <name val="ＭＳ Ｐゴシック"/>
      <family val="3"/>
    </font>
    <font>
      <sz val="46"/>
      <color indexed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9"/>
      <name val="ＭＳ Ｐゴシック"/>
      <family val="3"/>
    </font>
    <font>
      <sz val="48"/>
      <name val="ＭＳ Ｐゴシック"/>
      <family val="3"/>
    </font>
    <font>
      <b/>
      <sz val="28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4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36"/>
      <color indexed="59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2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38" fontId="3" fillId="0" borderId="0" xfId="49" applyFont="1" applyBorder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38" fontId="3" fillId="0" borderId="0" xfId="49" applyFont="1" applyBorder="1" applyAlignment="1">
      <alignment vertical="center" shrinkToFit="1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 vertical="top"/>
    </xf>
    <xf numFmtId="0" fontId="2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" fillId="0" borderId="16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19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17" fillId="0" borderId="21" xfId="0" applyNumberFormat="1" applyFont="1" applyBorder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0" fontId="17" fillId="0" borderId="21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 vertical="center" shrinkToFit="1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 shrinkToFit="1"/>
    </xf>
    <xf numFmtId="0" fontId="3" fillId="0" borderId="25" xfId="0" applyNumberFormat="1" applyFont="1" applyBorder="1" applyAlignment="1">
      <alignment vertical="center" shrinkToFit="1"/>
    </xf>
    <xf numFmtId="0" fontId="3" fillId="0" borderId="26" xfId="0" applyNumberFormat="1" applyFont="1" applyBorder="1" applyAlignment="1">
      <alignment vertical="center" shrinkToFit="1"/>
    </xf>
    <xf numFmtId="0" fontId="0" fillId="0" borderId="2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255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vertical="center" shrinkToFit="1"/>
    </xf>
    <xf numFmtId="0" fontId="20" fillId="0" borderId="27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29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3" fillId="0" borderId="3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top"/>
    </xf>
    <xf numFmtId="2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8" xfId="0" applyNumberFormat="1" applyFont="1" applyBorder="1" applyAlignment="1">
      <alignment horizontal="left" vertical="center" shrinkToFit="1"/>
    </xf>
    <xf numFmtId="0" fontId="3" fillId="0" borderId="22" xfId="0" applyNumberFormat="1" applyFont="1" applyBorder="1" applyAlignment="1">
      <alignment horizontal="left" vertical="center" shrinkToFit="1"/>
    </xf>
    <xf numFmtId="0" fontId="3" fillId="0" borderId="23" xfId="0" applyNumberFormat="1" applyFont="1" applyBorder="1" applyAlignment="1">
      <alignment horizontal="left" vertical="center" shrinkToFit="1"/>
    </xf>
    <xf numFmtId="0" fontId="0" fillId="0" borderId="22" xfId="0" applyNumberFormat="1" applyBorder="1" applyAlignment="1">
      <alignment horizontal="left" vertical="center" shrinkToFit="1"/>
    </xf>
    <xf numFmtId="0" fontId="0" fillId="0" borderId="23" xfId="0" applyNumberFormat="1" applyBorder="1" applyAlignment="1">
      <alignment horizontal="left" vertical="center" shrinkToFit="1"/>
    </xf>
    <xf numFmtId="0" fontId="3" fillId="0" borderId="28" xfId="49" applyNumberFormat="1" applyFont="1" applyBorder="1" applyAlignment="1">
      <alignment horizontal="left" vertical="center" shrinkToFit="1"/>
    </xf>
    <xf numFmtId="0" fontId="3" fillId="0" borderId="22" xfId="49" applyNumberFormat="1" applyFont="1" applyBorder="1" applyAlignment="1">
      <alignment horizontal="left" vertical="center" shrinkToFit="1"/>
    </xf>
    <xf numFmtId="0" fontId="3" fillId="0" borderId="23" xfId="49" applyNumberFormat="1" applyFont="1" applyBorder="1" applyAlignment="1">
      <alignment horizontal="left" vertical="center" shrinkToFit="1"/>
    </xf>
    <xf numFmtId="190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28" fillId="0" borderId="29" xfId="0" applyNumberFormat="1" applyFont="1" applyBorder="1" applyAlignment="1">
      <alignment horizontal="left" vertical="top" wrapText="1" shrinkToFit="1"/>
    </xf>
    <xf numFmtId="0" fontId="28" fillId="0" borderId="15" xfId="0" applyNumberFormat="1" applyFont="1" applyBorder="1" applyAlignment="1">
      <alignment horizontal="left" vertical="top" wrapText="1" shrinkToFit="1"/>
    </xf>
    <xf numFmtId="0" fontId="28" fillId="0" borderId="30" xfId="0" applyNumberFormat="1" applyFont="1" applyBorder="1" applyAlignment="1">
      <alignment horizontal="left" vertical="top" wrapText="1" shrinkToFit="1"/>
    </xf>
    <xf numFmtId="0" fontId="28" fillId="0" borderId="31" xfId="0" applyNumberFormat="1" applyFont="1" applyBorder="1" applyAlignment="1">
      <alignment horizontal="left" vertical="top" wrapText="1" shrinkToFit="1"/>
    </xf>
    <xf numFmtId="0" fontId="28" fillId="0" borderId="0" xfId="0" applyNumberFormat="1" applyFont="1" applyAlignment="1">
      <alignment horizontal="left" vertical="top" wrapText="1" shrinkToFit="1"/>
    </xf>
    <xf numFmtId="0" fontId="28" fillId="0" borderId="24" xfId="0" applyNumberFormat="1" applyFont="1" applyBorder="1" applyAlignment="1">
      <alignment horizontal="left" vertical="top" wrapText="1" shrinkToFit="1"/>
    </xf>
    <xf numFmtId="0" fontId="28" fillId="0" borderId="32" xfId="0" applyNumberFormat="1" applyFont="1" applyBorder="1" applyAlignment="1">
      <alignment horizontal="left" vertical="top" wrapText="1" shrinkToFit="1"/>
    </xf>
    <xf numFmtId="0" fontId="28" fillId="0" borderId="25" xfId="0" applyNumberFormat="1" applyFont="1" applyBorder="1" applyAlignment="1">
      <alignment horizontal="left" vertical="top" wrapText="1" shrinkToFit="1"/>
    </xf>
    <xf numFmtId="0" fontId="28" fillId="0" borderId="26" xfId="0" applyNumberFormat="1" applyFont="1" applyBorder="1" applyAlignment="1">
      <alignment horizontal="left" vertical="top" wrapText="1" shrinkToFit="1"/>
    </xf>
    <xf numFmtId="0" fontId="3" fillId="0" borderId="16" xfId="0" applyNumberFormat="1" applyFont="1" applyBorder="1" applyAlignment="1">
      <alignment horizontal="left" vertical="top" wrapText="1" shrinkToFit="1"/>
    </xf>
    <xf numFmtId="0" fontId="3" fillId="0" borderId="27" xfId="0" applyNumberFormat="1" applyFont="1" applyBorder="1" applyAlignment="1">
      <alignment horizontal="left" vertical="top" wrapText="1" shrinkToFit="1"/>
    </xf>
    <xf numFmtId="0" fontId="3" fillId="0" borderId="33" xfId="0" applyNumberFormat="1" applyFont="1" applyBorder="1" applyAlignment="1">
      <alignment horizontal="left" vertical="top" wrapText="1" shrinkToFit="1"/>
    </xf>
    <xf numFmtId="0" fontId="2" fillId="0" borderId="16" xfId="0" applyNumberFormat="1" applyFont="1" applyBorder="1" applyAlignment="1">
      <alignment horizontal="center" vertical="center" textRotation="255"/>
    </xf>
    <xf numFmtId="0" fontId="2" fillId="0" borderId="27" xfId="0" applyNumberFormat="1" applyFont="1" applyBorder="1" applyAlignment="1">
      <alignment horizontal="center" vertical="center" textRotation="255"/>
    </xf>
    <xf numFmtId="0" fontId="2" fillId="0" borderId="33" xfId="0" applyNumberFormat="1" applyFont="1" applyBorder="1" applyAlignment="1">
      <alignment horizontal="center" vertical="center" textRotation="255"/>
    </xf>
    <xf numFmtId="0" fontId="2" fillId="0" borderId="16" xfId="0" applyNumberFormat="1" applyFont="1" applyBorder="1" applyAlignment="1">
      <alignment horizontal="center" vertical="center" shrinkToFit="1"/>
    </xf>
    <xf numFmtId="0" fontId="0" fillId="0" borderId="33" xfId="0" applyNumberFormat="1" applyBorder="1" applyAlignment="1">
      <alignment/>
    </xf>
    <xf numFmtId="0" fontId="3" fillId="0" borderId="2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textRotation="255"/>
    </xf>
    <xf numFmtId="31" fontId="3" fillId="0" borderId="19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left" vertical="center" shrinkToFit="1"/>
    </xf>
    <xf numFmtId="0" fontId="0" fillId="0" borderId="22" xfId="0" applyNumberFormat="1" applyFont="1" applyBorder="1" applyAlignment="1">
      <alignment horizontal="left" vertical="center" shrinkToFit="1"/>
    </xf>
    <xf numFmtId="0" fontId="0" fillId="0" borderId="23" xfId="0" applyNumberFormat="1" applyFont="1" applyBorder="1" applyAlignment="1">
      <alignment horizontal="left" vertical="center" shrinkToFit="1"/>
    </xf>
    <xf numFmtId="0" fontId="0" fillId="0" borderId="28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vertical="center" shrinkToFit="1"/>
    </xf>
    <xf numFmtId="0" fontId="18" fillId="0" borderId="0" xfId="0" applyNumberFormat="1" applyFont="1" applyBorder="1" applyAlignment="1">
      <alignment horizontal="left" vertical="center" shrinkToFit="1"/>
    </xf>
    <xf numFmtId="0" fontId="0" fillId="0" borderId="22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15" fillId="0" borderId="0" xfId="0" applyNumberFormat="1" applyFont="1" applyBorder="1" applyAlignment="1">
      <alignment horizontal="left" vertical="center" shrinkToFit="1"/>
    </xf>
    <xf numFmtId="0" fontId="3" fillId="0" borderId="1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shrinkToFit="1"/>
    </xf>
    <xf numFmtId="0" fontId="13" fillId="33" borderId="29" xfId="0" applyNumberFormat="1" applyFont="1" applyFill="1" applyBorder="1" applyAlignment="1">
      <alignment horizontal="center" vertical="center" shrinkToFit="1"/>
    </xf>
    <xf numFmtId="0" fontId="13" fillId="33" borderId="15" xfId="0" applyNumberFormat="1" applyFont="1" applyFill="1" applyBorder="1" applyAlignment="1">
      <alignment horizontal="center" vertical="center" shrinkToFit="1"/>
    </xf>
    <xf numFmtId="0" fontId="13" fillId="33" borderId="31" xfId="0" applyNumberFormat="1" applyFont="1" applyFill="1" applyBorder="1" applyAlignment="1">
      <alignment horizontal="center" vertical="center" shrinkToFit="1"/>
    </xf>
    <xf numFmtId="0" fontId="13" fillId="33" borderId="0" xfId="0" applyNumberFormat="1" applyFont="1" applyFill="1" applyBorder="1" applyAlignment="1">
      <alignment horizontal="center" vertical="center" shrinkToFit="1"/>
    </xf>
    <xf numFmtId="0" fontId="13" fillId="33" borderId="32" xfId="0" applyNumberFormat="1" applyFont="1" applyFill="1" applyBorder="1" applyAlignment="1">
      <alignment horizontal="center" vertical="center" shrinkToFit="1"/>
    </xf>
    <xf numFmtId="0" fontId="13" fillId="33" borderId="25" xfId="0" applyNumberFormat="1" applyFont="1" applyFill="1" applyBorder="1" applyAlignment="1">
      <alignment horizontal="center" vertical="center" shrinkToFit="1"/>
    </xf>
    <xf numFmtId="0" fontId="13" fillId="33" borderId="30" xfId="0" applyNumberFormat="1" applyFont="1" applyFill="1" applyBorder="1" applyAlignment="1">
      <alignment horizontal="center" vertical="center" shrinkToFit="1"/>
    </xf>
    <xf numFmtId="0" fontId="13" fillId="33" borderId="24" xfId="0" applyNumberFormat="1" applyFont="1" applyFill="1" applyBorder="1" applyAlignment="1">
      <alignment horizontal="center" vertical="center" shrinkToFit="1"/>
    </xf>
    <xf numFmtId="0" fontId="13" fillId="33" borderId="26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textRotation="255"/>
    </xf>
    <xf numFmtId="0" fontId="21" fillId="0" borderId="27" xfId="0" applyNumberFormat="1" applyFont="1" applyFill="1" applyBorder="1" applyAlignment="1">
      <alignment horizontal="center" vertical="center" textRotation="255"/>
    </xf>
    <xf numFmtId="0" fontId="21" fillId="0" borderId="33" xfId="0" applyNumberFormat="1" applyFont="1" applyFill="1" applyBorder="1" applyAlignment="1">
      <alignment horizontal="center" vertical="center" textRotation="255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7" fillId="34" borderId="29" xfId="0" applyNumberFormat="1" applyFont="1" applyFill="1" applyBorder="1" applyAlignment="1">
      <alignment horizontal="center" vertical="center" shrinkToFit="1"/>
    </xf>
    <xf numFmtId="0" fontId="0" fillId="34" borderId="15" xfId="0" applyNumberFormat="1" applyFont="1" applyFill="1" applyBorder="1" applyAlignment="1">
      <alignment horizontal="center" vertical="center" shrinkToFit="1"/>
    </xf>
    <xf numFmtId="0" fontId="0" fillId="34" borderId="30" xfId="0" applyNumberFormat="1" applyFont="1" applyFill="1" applyBorder="1" applyAlignment="1">
      <alignment horizontal="center" vertical="center" shrinkToFit="1"/>
    </xf>
    <xf numFmtId="0" fontId="0" fillId="34" borderId="31" xfId="0" applyNumberFormat="1" applyFont="1" applyFill="1" applyBorder="1" applyAlignment="1">
      <alignment horizontal="center" vertical="center" shrinkToFit="1"/>
    </xf>
    <xf numFmtId="0" fontId="0" fillId="34" borderId="0" xfId="0" applyNumberFormat="1" applyFont="1" applyFill="1" applyAlignment="1">
      <alignment horizontal="center" vertical="center" shrinkToFit="1"/>
    </xf>
    <xf numFmtId="0" fontId="0" fillId="34" borderId="24" xfId="0" applyNumberFormat="1" applyFont="1" applyFill="1" applyBorder="1" applyAlignment="1">
      <alignment horizontal="center" vertical="center" shrinkToFit="1"/>
    </xf>
    <xf numFmtId="0" fontId="0" fillId="34" borderId="32" xfId="0" applyNumberFormat="1" applyFont="1" applyFill="1" applyBorder="1" applyAlignment="1">
      <alignment horizontal="center" vertical="center" shrinkToFit="1"/>
    </xf>
    <xf numFmtId="0" fontId="0" fillId="34" borderId="25" xfId="0" applyNumberFormat="1" applyFont="1" applyFill="1" applyBorder="1" applyAlignment="1">
      <alignment horizontal="center" vertical="center" shrinkToFit="1"/>
    </xf>
    <xf numFmtId="0" fontId="0" fillId="34" borderId="26" xfId="0" applyNumberFormat="1" applyFont="1" applyFill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left" vertical="center" shrinkToFit="1"/>
    </xf>
    <xf numFmtId="0" fontId="25" fillId="0" borderId="15" xfId="0" applyNumberFormat="1" applyFont="1" applyBorder="1" applyAlignment="1">
      <alignment horizontal="left" vertical="center" shrinkToFit="1"/>
    </xf>
    <xf numFmtId="0" fontId="25" fillId="0" borderId="31" xfId="0" applyNumberFormat="1" applyFont="1" applyBorder="1" applyAlignment="1">
      <alignment horizontal="left" vertical="center" shrinkToFit="1"/>
    </xf>
    <xf numFmtId="0" fontId="25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25" fillId="0" borderId="15" xfId="0" applyNumberFormat="1" applyFont="1" applyBorder="1" applyAlignment="1">
      <alignment horizontal="right" vertical="center" shrinkToFit="1"/>
    </xf>
    <xf numFmtId="0" fontId="25" fillId="0" borderId="30" xfId="0" applyNumberFormat="1" applyFont="1" applyBorder="1" applyAlignment="1">
      <alignment horizontal="right" vertical="center" shrinkToFit="1"/>
    </xf>
    <xf numFmtId="0" fontId="25" fillId="0" borderId="0" xfId="0" applyNumberFormat="1" applyFont="1" applyAlignment="1">
      <alignment horizontal="right" vertical="center" shrinkToFit="1"/>
    </xf>
    <xf numFmtId="0" fontId="25" fillId="0" borderId="24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14" fillId="0" borderId="28" xfId="0" applyNumberFormat="1" applyFont="1" applyBorder="1" applyAlignment="1">
      <alignment vertical="center" shrinkToFit="1"/>
    </xf>
    <xf numFmtId="0" fontId="0" fillId="0" borderId="22" xfId="0" applyNumberFormat="1" applyBorder="1" applyAlignment="1">
      <alignment vertical="center" shrinkToFit="1"/>
    </xf>
    <xf numFmtId="0" fontId="0" fillId="0" borderId="23" xfId="0" applyNumberFormat="1" applyBorder="1" applyAlignment="1">
      <alignment vertical="center" shrinkToFit="1"/>
    </xf>
    <xf numFmtId="0" fontId="14" fillId="0" borderId="28" xfId="0" applyNumberFormat="1" applyFont="1" applyBorder="1" applyAlignment="1">
      <alignment horizontal="left" vertical="center" shrinkToFit="1"/>
    </xf>
    <xf numFmtId="0" fontId="14" fillId="0" borderId="22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 horizontal="left" vertical="top" wrapText="1" shrinkToFi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 vertical="center"/>
    </xf>
    <xf numFmtId="0" fontId="0" fillId="0" borderId="15" xfId="0" applyNumberForma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left" vertical="top" wrapText="1" shrinkToFit="1"/>
    </xf>
    <xf numFmtId="0" fontId="3" fillId="0" borderId="15" xfId="0" applyNumberFormat="1" applyFont="1" applyBorder="1" applyAlignment="1">
      <alignment horizontal="left" vertical="top" wrapText="1" shrinkToFit="1"/>
    </xf>
    <xf numFmtId="0" fontId="3" fillId="0" borderId="30" xfId="0" applyNumberFormat="1" applyFont="1" applyBorder="1" applyAlignment="1">
      <alignment horizontal="left" vertical="top" wrapText="1" shrinkToFit="1"/>
    </xf>
    <xf numFmtId="0" fontId="3" fillId="0" borderId="31" xfId="0" applyNumberFormat="1" applyFont="1" applyBorder="1" applyAlignment="1">
      <alignment horizontal="left" vertical="top" wrapText="1" shrinkToFit="1"/>
    </xf>
    <xf numFmtId="0" fontId="3" fillId="0" borderId="0" xfId="0" applyNumberFormat="1" applyFont="1" applyAlignment="1">
      <alignment horizontal="left" vertical="top" wrapText="1" shrinkToFit="1"/>
    </xf>
    <xf numFmtId="0" fontId="3" fillId="0" borderId="24" xfId="0" applyNumberFormat="1" applyFont="1" applyBorder="1" applyAlignment="1">
      <alignment horizontal="left" vertical="top" wrapText="1" shrinkToFit="1"/>
    </xf>
    <xf numFmtId="0" fontId="3" fillId="0" borderId="32" xfId="0" applyNumberFormat="1" applyFont="1" applyBorder="1" applyAlignment="1">
      <alignment horizontal="left" vertical="top" wrapText="1" shrinkToFit="1"/>
    </xf>
    <xf numFmtId="0" fontId="3" fillId="0" borderId="25" xfId="0" applyNumberFormat="1" applyFont="1" applyBorder="1" applyAlignment="1">
      <alignment horizontal="left" vertical="top" wrapText="1" shrinkToFit="1"/>
    </xf>
    <xf numFmtId="0" fontId="3" fillId="0" borderId="26" xfId="0" applyNumberFormat="1" applyFont="1" applyBorder="1" applyAlignment="1">
      <alignment horizontal="left" vertical="top" wrapText="1" shrinkToFit="1"/>
    </xf>
    <xf numFmtId="0" fontId="8" fillId="0" borderId="0" xfId="0" applyNumberFormat="1" applyFont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left" vertical="center" shrinkToFit="1"/>
    </xf>
    <xf numFmtId="0" fontId="3" fillId="0" borderId="22" xfId="0" applyNumberFormat="1" applyFont="1" applyFill="1" applyBorder="1" applyAlignment="1">
      <alignment horizontal="left" vertical="center" shrinkToFit="1"/>
    </xf>
    <xf numFmtId="0" fontId="3" fillId="0" borderId="23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2" fillId="0" borderId="16" xfId="0" applyNumberFormat="1" applyFont="1" applyBorder="1" applyAlignment="1">
      <alignment horizontal="center" vertical="center" textRotation="255" shrinkToFit="1"/>
    </xf>
    <xf numFmtId="0" fontId="2" fillId="0" borderId="27" xfId="0" applyNumberFormat="1" applyFont="1" applyBorder="1" applyAlignment="1">
      <alignment horizontal="center" vertical="center" textRotation="255" shrinkToFit="1"/>
    </xf>
    <xf numFmtId="0" fontId="2" fillId="0" borderId="33" xfId="0" applyNumberFormat="1" applyFont="1" applyBorder="1" applyAlignment="1">
      <alignment horizontal="center" vertical="center" textRotation="255" shrinkToFit="1"/>
    </xf>
    <xf numFmtId="0" fontId="3" fillId="0" borderId="17" xfId="0" applyNumberFormat="1" applyFont="1" applyBorder="1" applyAlignment="1">
      <alignment vertical="top" wrapText="1" shrinkToFit="1"/>
    </xf>
    <xf numFmtId="0" fontId="3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 textRotation="255" shrinkToFit="1"/>
    </xf>
    <xf numFmtId="0" fontId="3" fillId="0" borderId="28" xfId="0" applyNumberFormat="1" applyFont="1" applyBorder="1" applyAlignment="1">
      <alignment vertical="center" shrinkToFit="1"/>
    </xf>
    <xf numFmtId="0" fontId="3" fillId="0" borderId="22" xfId="0" applyNumberFormat="1" applyFont="1" applyBorder="1" applyAlignment="1">
      <alignment vertical="center" shrinkToFit="1"/>
    </xf>
    <xf numFmtId="0" fontId="3" fillId="0" borderId="23" xfId="0" applyNumberFormat="1" applyFont="1" applyBorder="1" applyAlignment="1">
      <alignment vertical="center" shrinkToFit="1"/>
    </xf>
    <xf numFmtId="0" fontId="3" fillId="0" borderId="29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3" fillId="0" borderId="30" xfId="0" applyNumberFormat="1" applyFont="1" applyBorder="1" applyAlignment="1">
      <alignment horizontal="left" vertical="center" shrinkToFit="1"/>
    </xf>
    <xf numFmtId="0" fontId="3" fillId="0" borderId="29" xfId="0" applyNumberFormat="1" applyFont="1" applyBorder="1" applyAlignment="1">
      <alignment vertical="center" shrinkToFit="1"/>
    </xf>
    <xf numFmtId="0" fontId="3" fillId="0" borderId="15" xfId="0" applyNumberFormat="1" applyFont="1" applyBorder="1" applyAlignment="1">
      <alignment vertical="center" shrinkToFit="1"/>
    </xf>
    <xf numFmtId="0" fontId="3" fillId="0" borderId="30" xfId="0" applyNumberFormat="1" applyFont="1" applyBorder="1" applyAlignment="1">
      <alignment vertical="center" shrinkToFit="1"/>
    </xf>
    <xf numFmtId="0" fontId="3" fillId="0" borderId="32" xfId="0" applyNumberFormat="1" applyFont="1" applyBorder="1" applyAlignment="1">
      <alignment horizontal="left" vertical="center" shrinkToFit="1"/>
    </xf>
    <xf numFmtId="0" fontId="3" fillId="0" borderId="25" xfId="0" applyNumberFormat="1" applyFont="1" applyBorder="1" applyAlignment="1">
      <alignment horizontal="left" vertical="center" shrinkToFit="1"/>
    </xf>
    <xf numFmtId="0" fontId="3" fillId="0" borderId="26" xfId="0" applyNumberFormat="1" applyFont="1" applyBorder="1" applyAlignment="1">
      <alignment horizontal="left" vertical="center" shrinkToFit="1"/>
    </xf>
    <xf numFmtId="0" fontId="2" fillId="0" borderId="28" xfId="0" applyNumberFormat="1" applyFont="1" applyBorder="1" applyAlignment="1">
      <alignment horizontal="left" vertical="center" shrinkToFit="1"/>
    </xf>
    <xf numFmtId="0" fontId="2" fillId="0" borderId="22" xfId="0" applyNumberFormat="1" applyFont="1" applyBorder="1" applyAlignment="1">
      <alignment horizontal="left" vertical="center" shrinkToFit="1"/>
    </xf>
    <xf numFmtId="0" fontId="2" fillId="0" borderId="23" xfId="0" applyNumberFormat="1" applyFont="1" applyBorder="1" applyAlignment="1">
      <alignment horizontal="left" vertical="center" shrinkToFit="1"/>
    </xf>
    <xf numFmtId="0" fontId="21" fillId="0" borderId="16" xfId="0" applyNumberFormat="1" applyFont="1" applyBorder="1" applyAlignment="1">
      <alignment horizontal="center" vertical="center" textRotation="255" shrinkToFit="1"/>
    </xf>
    <xf numFmtId="0" fontId="21" fillId="0" borderId="27" xfId="0" applyNumberFormat="1" applyFont="1" applyBorder="1" applyAlignment="1">
      <alignment horizontal="center" vertical="center" textRotation="255" shrinkToFit="1"/>
    </xf>
    <xf numFmtId="0" fontId="21" fillId="0" borderId="33" xfId="0" applyNumberFormat="1" applyFont="1" applyBorder="1" applyAlignment="1">
      <alignment horizontal="center" vertical="center" textRotation="255" shrinkToFit="1"/>
    </xf>
    <xf numFmtId="0" fontId="24" fillId="0" borderId="15" xfId="0" applyNumberFormat="1" applyFont="1" applyBorder="1" applyAlignment="1">
      <alignment horizontal="center" vertical="center" shrinkToFit="1"/>
    </xf>
    <xf numFmtId="0" fontId="24" fillId="0" borderId="30" xfId="0" applyNumberFormat="1" applyFont="1" applyBorder="1" applyAlignment="1">
      <alignment horizontal="center" vertical="center" shrinkToFit="1"/>
    </xf>
    <xf numFmtId="0" fontId="24" fillId="0" borderId="0" xfId="0" applyNumberFormat="1" applyFont="1" applyAlignment="1">
      <alignment horizontal="center" vertical="center" shrinkToFit="1"/>
    </xf>
    <xf numFmtId="0" fontId="24" fillId="0" borderId="24" xfId="0" applyNumberFormat="1" applyFont="1" applyBorder="1" applyAlignment="1">
      <alignment horizontal="center" vertical="center" shrinkToFit="1"/>
    </xf>
    <xf numFmtId="0" fontId="24" fillId="0" borderId="25" xfId="0" applyNumberFormat="1" applyFont="1" applyBorder="1" applyAlignment="1">
      <alignment horizontal="center" vertical="center" shrinkToFit="1"/>
    </xf>
    <xf numFmtId="0" fontId="24" fillId="0" borderId="26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vertical="center" shrinkToFit="1"/>
    </xf>
    <xf numFmtId="0" fontId="3" fillId="0" borderId="25" xfId="0" applyNumberFormat="1" applyFont="1" applyBorder="1" applyAlignment="1">
      <alignment vertical="center" shrinkToFit="1"/>
    </xf>
    <xf numFmtId="0" fontId="3" fillId="0" borderId="26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0" fontId="3" fillId="0" borderId="3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255"/>
    </xf>
    <xf numFmtId="0" fontId="3" fillId="0" borderId="29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vertical="top" wrapText="1"/>
    </xf>
    <xf numFmtId="0" fontId="3" fillId="0" borderId="31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32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0" fontId="2" fillId="0" borderId="29" xfId="0" applyNumberFormat="1" applyFont="1" applyBorder="1" applyAlignment="1">
      <alignment horizontal="center" vertical="center" textRotation="255"/>
    </xf>
    <xf numFmtId="0" fontId="2" fillId="0" borderId="31" xfId="0" applyNumberFormat="1" applyFont="1" applyBorder="1" applyAlignment="1">
      <alignment horizontal="center" vertical="center" textRotation="255"/>
    </xf>
    <xf numFmtId="0" fontId="2" fillId="0" borderId="32" xfId="0" applyNumberFormat="1" applyFont="1" applyBorder="1" applyAlignment="1">
      <alignment horizontal="center" vertical="center" textRotation="255"/>
    </xf>
    <xf numFmtId="0" fontId="3" fillId="0" borderId="28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13" fillId="33" borderId="31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/>
    </xf>
    <xf numFmtId="0" fontId="24" fillId="0" borderId="31" xfId="0" applyNumberFormat="1" applyFont="1" applyBorder="1" applyAlignment="1">
      <alignment/>
    </xf>
    <xf numFmtId="0" fontId="0" fillId="0" borderId="22" xfId="0" applyNumberFormat="1" applyFont="1" applyBorder="1" applyAlignment="1">
      <alignment horizontal="left" vertical="center" shrinkToFit="1"/>
    </xf>
    <xf numFmtId="0" fontId="0" fillId="0" borderId="23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horizontal="center" vertical="center" textRotation="255"/>
    </xf>
    <xf numFmtId="0" fontId="3" fillId="0" borderId="17" xfId="0" applyNumberFormat="1" applyFont="1" applyBorder="1" applyAlignment="1">
      <alignment horizontal="center" vertical="center" textRotation="255"/>
    </xf>
    <xf numFmtId="0" fontId="0" fillId="0" borderId="17" xfId="0" applyNumberFormat="1" applyBorder="1" applyAlignment="1">
      <alignment vertical="center"/>
    </xf>
    <xf numFmtId="0" fontId="0" fillId="0" borderId="29" xfId="0" applyNumberFormat="1" applyFont="1" applyBorder="1" applyAlignment="1">
      <alignment horizontal="left" vertical="top" wrapText="1" shrinkToFit="1"/>
    </xf>
    <xf numFmtId="0" fontId="0" fillId="0" borderId="15" xfId="0" applyNumberFormat="1" applyFont="1" applyBorder="1" applyAlignment="1">
      <alignment horizontal="left" vertical="top" wrapText="1" shrinkToFit="1"/>
    </xf>
    <xf numFmtId="0" fontId="0" fillId="0" borderId="30" xfId="0" applyNumberFormat="1" applyFont="1" applyBorder="1" applyAlignment="1">
      <alignment horizontal="left" vertical="top" wrapText="1" shrinkToFit="1"/>
    </xf>
    <xf numFmtId="0" fontId="0" fillId="0" borderId="32" xfId="0" applyNumberFormat="1" applyFont="1" applyBorder="1" applyAlignment="1">
      <alignment horizontal="left" vertical="top" wrapText="1" shrinkToFit="1"/>
    </xf>
    <xf numFmtId="0" fontId="0" fillId="0" borderId="25" xfId="0" applyNumberFormat="1" applyFont="1" applyBorder="1" applyAlignment="1">
      <alignment horizontal="left" vertical="top" wrapText="1" shrinkToFit="1"/>
    </xf>
    <xf numFmtId="0" fontId="0" fillId="0" borderId="26" xfId="0" applyNumberFormat="1" applyFont="1" applyBorder="1" applyAlignment="1">
      <alignment horizontal="left" vertical="top" wrapText="1" shrinkToFit="1"/>
    </xf>
    <xf numFmtId="0" fontId="2" fillId="0" borderId="28" xfId="0" applyNumberFormat="1" applyFont="1" applyBorder="1" applyAlignment="1">
      <alignment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17" xfId="0" applyNumberFormat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 wrapText="1"/>
    </xf>
    <xf numFmtId="0" fontId="3" fillId="0" borderId="27" xfId="0" applyNumberFormat="1" applyFont="1" applyBorder="1" applyAlignment="1">
      <alignment horizontal="center" vertical="center" textRotation="255"/>
    </xf>
    <xf numFmtId="0" fontId="3" fillId="0" borderId="33" xfId="0" applyNumberFormat="1" applyFont="1" applyBorder="1" applyAlignment="1">
      <alignment horizontal="center" vertical="center" textRotation="255"/>
    </xf>
    <xf numFmtId="0" fontId="23" fillId="33" borderId="0" xfId="0" applyNumberFormat="1" applyFont="1" applyFill="1" applyBorder="1" applyAlignment="1">
      <alignment horizontal="center" vertical="center" shrinkToFit="1"/>
    </xf>
    <xf numFmtId="0" fontId="23" fillId="33" borderId="24" xfId="0" applyNumberFormat="1" applyFont="1" applyFill="1" applyBorder="1" applyAlignment="1">
      <alignment horizontal="center" vertical="center" shrinkToFit="1"/>
    </xf>
    <xf numFmtId="0" fontId="23" fillId="33" borderId="25" xfId="0" applyNumberFormat="1" applyFont="1" applyFill="1" applyBorder="1" applyAlignment="1">
      <alignment horizontal="center" vertical="center" shrinkToFit="1"/>
    </xf>
    <xf numFmtId="0" fontId="23" fillId="33" borderId="26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textRotation="255" wrapText="1"/>
    </xf>
    <xf numFmtId="0" fontId="21" fillId="0" borderId="27" xfId="0" applyNumberFormat="1" applyFont="1" applyBorder="1" applyAlignment="1">
      <alignment horizontal="center" vertical="center" textRotation="255" wrapText="1"/>
    </xf>
    <xf numFmtId="0" fontId="21" fillId="0" borderId="33" xfId="0" applyNumberFormat="1" applyFont="1" applyBorder="1" applyAlignment="1">
      <alignment horizontal="center" vertical="center" textRotation="255" wrapText="1"/>
    </xf>
    <xf numFmtId="0" fontId="0" fillId="0" borderId="32" xfId="0" applyNumberFormat="1" applyBorder="1" applyAlignment="1">
      <alignment vertical="center" shrinkToFit="1"/>
    </xf>
    <xf numFmtId="0" fontId="0" fillId="0" borderId="25" xfId="0" applyNumberFormat="1" applyBorder="1" applyAlignment="1">
      <alignment vertical="center" shrinkToFit="1"/>
    </xf>
    <xf numFmtId="0" fontId="0" fillId="0" borderId="26" xfId="0" applyNumberFormat="1" applyBorder="1" applyAlignment="1">
      <alignment vertical="center" shrinkToFit="1"/>
    </xf>
    <xf numFmtId="0" fontId="0" fillId="0" borderId="33" xfId="0" applyNumberFormat="1" applyBorder="1" applyAlignment="1">
      <alignment horizontal="center" vertical="center" textRotation="255"/>
    </xf>
    <xf numFmtId="0" fontId="3" fillId="0" borderId="32" xfId="0" applyNumberFormat="1" applyFon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right" vertical="center" shrinkToFit="1"/>
    </xf>
    <xf numFmtId="0" fontId="3" fillId="0" borderId="29" xfId="0" applyNumberFormat="1" applyFont="1" applyBorder="1" applyAlignment="1">
      <alignment vertical="top" wrapText="1" shrinkToFit="1"/>
    </xf>
    <xf numFmtId="0" fontId="3" fillId="0" borderId="15" xfId="0" applyNumberFormat="1" applyFont="1" applyBorder="1" applyAlignment="1">
      <alignment vertical="top" wrapText="1" shrinkToFit="1"/>
    </xf>
    <xf numFmtId="0" fontId="3" fillId="0" borderId="30" xfId="0" applyNumberFormat="1" applyFont="1" applyBorder="1" applyAlignment="1">
      <alignment vertical="top" wrapText="1" shrinkToFit="1"/>
    </xf>
    <xf numFmtId="0" fontId="3" fillId="0" borderId="31" xfId="0" applyNumberFormat="1" applyFont="1" applyBorder="1" applyAlignment="1">
      <alignment vertical="top" wrapText="1" shrinkToFit="1"/>
    </xf>
    <xf numFmtId="0" fontId="3" fillId="0" borderId="0" xfId="0" applyNumberFormat="1" applyFont="1" applyBorder="1" applyAlignment="1">
      <alignment vertical="top" wrapText="1" shrinkToFit="1"/>
    </xf>
    <xf numFmtId="0" fontId="3" fillId="0" borderId="24" xfId="0" applyNumberFormat="1" applyFont="1" applyBorder="1" applyAlignment="1">
      <alignment vertical="top" wrapText="1" shrinkToFit="1"/>
    </xf>
    <xf numFmtId="0" fontId="3" fillId="0" borderId="32" xfId="0" applyNumberFormat="1" applyFont="1" applyBorder="1" applyAlignment="1">
      <alignment vertical="top" wrapText="1" shrinkToFit="1"/>
    </xf>
    <xf numFmtId="0" fontId="3" fillId="0" borderId="25" xfId="0" applyNumberFormat="1" applyFont="1" applyBorder="1" applyAlignment="1">
      <alignment vertical="top" wrapText="1" shrinkToFit="1"/>
    </xf>
    <xf numFmtId="0" fontId="3" fillId="0" borderId="26" xfId="0" applyNumberFormat="1" applyFont="1" applyBorder="1" applyAlignment="1">
      <alignment vertical="top" wrapText="1" shrinkToFit="1"/>
    </xf>
    <xf numFmtId="0" fontId="3" fillId="0" borderId="22" xfId="0" applyNumberFormat="1" applyFont="1" applyBorder="1" applyAlignment="1">
      <alignment horizontal="left" shrinkToFit="1"/>
    </xf>
    <xf numFmtId="0" fontId="3" fillId="0" borderId="23" xfId="0" applyNumberFormat="1" applyFont="1" applyBorder="1" applyAlignment="1">
      <alignment horizontal="left" shrinkToFit="1"/>
    </xf>
    <xf numFmtId="0" fontId="3" fillId="0" borderId="29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 textRotation="255"/>
    </xf>
    <xf numFmtId="0" fontId="3" fillId="0" borderId="0" xfId="0" applyNumberFormat="1" applyFont="1" applyBorder="1" applyAlignment="1">
      <alignment horizontal="left" vertical="top"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30" xfId="0" applyNumberFormat="1" applyFont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center" vertical="center" shrinkToFit="1"/>
    </xf>
    <xf numFmtId="0" fontId="22" fillId="0" borderId="22" xfId="0" applyNumberFormat="1" applyFont="1" applyBorder="1" applyAlignment="1">
      <alignment horizontal="center" vertical="center" shrinkToFit="1"/>
    </xf>
    <xf numFmtId="0" fontId="22" fillId="0" borderId="22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 shrinkToFit="1"/>
    </xf>
    <xf numFmtId="0" fontId="21" fillId="0" borderId="29" xfId="0" applyNumberFormat="1" applyFont="1" applyBorder="1" applyAlignment="1">
      <alignment horizontal="center" vertical="center" textRotation="255" shrinkToFit="1"/>
    </xf>
    <xf numFmtId="0" fontId="21" fillId="0" borderId="31" xfId="0" applyNumberFormat="1" applyFont="1" applyBorder="1" applyAlignment="1">
      <alignment horizontal="center" vertical="center" textRotation="255" shrinkToFit="1"/>
    </xf>
    <xf numFmtId="0" fontId="21" fillId="0" borderId="32" xfId="0" applyNumberFormat="1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6</xdr:row>
      <xdr:rowOff>200025</xdr:rowOff>
    </xdr:from>
    <xdr:to>
      <xdr:col>25</xdr:col>
      <xdr:colOff>19050</xdr:colOff>
      <xdr:row>26</xdr:row>
      <xdr:rowOff>95250</xdr:rowOff>
    </xdr:to>
    <xdr:pic>
      <xdr:nvPicPr>
        <xdr:cNvPr id="1" name="Picture 29" descr="ヴァンベール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143000"/>
          <a:ext cx="23717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18</xdr:row>
      <xdr:rowOff>152400</xdr:rowOff>
    </xdr:from>
    <xdr:to>
      <xdr:col>8</xdr:col>
      <xdr:colOff>114300</xdr:colOff>
      <xdr:row>27</xdr:row>
      <xdr:rowOff>161925</xdr:rowOff>
    </xdr:to>
    <xdr:pic>
      <xdr:nvPicPr>
        <xdr:cNvPr id="2" name="Picture 31" descr="r 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810000"/>
          <a:ext cx="2409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133350</xdr:rowOff>
    </xdr:from>
    <xdr:to>
      <xdr:col>14</xdr:col>
      <xdr:colOff>76200</xdr:colOff>
      <xdr:row>18</xdr:row>
      <xdr:rowOff>9525</xdr:rowOff>
    </xdr:to>
    <xdr:pic>
      <xdr:nvPicPr>
        <xdr:cNvPr id="3" name="Picture 32" descr="r 0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076325"/>
          <a:ext cx="3448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104775</xdr:rowOff>
    </xdr:from>
    <xdr:to>
      <xdr:col>8</xdr:col>
      <xdr:colOff>104775</xdr:colOff>
      <xdr:row>37</xdr:row>
      <xdr:rowOff>123825</xdr:rowOff>
    </xdr:to>
    <xdr:pic>
      <xdr:nvPicPr>
        <xdr:cNvPr id="4" name="Picture 34" descr="r 0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762625"/>
          <a:ext cx="2419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152400</xdr:rowOff>
    </xdr:from>
    <xdr:to>
      <xdr:col>16</xdr:col>
      <xdr:colOff>76200</xdr:colOff>
      <xdr:row>27</xdr:row>
      <xdr:rowOff>171450</xdr:rowOff>
    </xdr:to>
    <xdr:pic>
      <xdr:nvPicPr>
        <xdr:cNvPr id="5" name="Picture 35" descr="r 0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28900" y="3810000"/>
          <a:ext cx="2419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28</xdr:row>
      <xdr:rowOff>95250</xdr:rowOff>
    </xdr:from>
    <xdr:to>
      <xdr:col>16</xdr:col>
      <xdr:colOff>114300</xdr:colOff>
      <xdr:row>37</xdr:row>
      <xdr:rowOff>133350</xdr:rowOff>
    </xdr:to>
    <xdr:pic>
      <xdr:nvPicPr>
        <xdr:cNvPr id="6" name="Picture 36" descr="r 0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5753100"/>
          <a:ext cx="2447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26</xdr:row>
      <xdr:rowOff>123825</xdr:rowOff>
    </xdr:from>
    <xdr:to>
      <xdr:col>27</xdr:col>
      <xdr:colOff>266700</xdr:colOff>
      <xdr:row>28</xdr:row>
      <xdr:rowOff>171450</xdr:rowOff>
    </xdr:to>
    <xdr:sp>
      <xdr:nvSpPr>
        <xdr:cNvPr id="7" name="WordArt 39"/>
        <xdr:cNvSpPr>
          <a:spLocks/>
        </xdr:cNvSpPr>
      </xdr:nvSpPr>
      <xdr:spPr>
        <a:xfrm>
          <a:off x="5438775" y="5381625"/>
          <a:ext cx="3571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103.105.205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</a:p>
      </xdr:txBody>
    </xdr:sp>
    <xdr:clientData/>
  </xdr:twoCellAnchor>
  <xdr:twoCellAnchor>
    <xdr:from>
      <xdr:col>17</xdr:col>
      <xdr:colOff>85725</xdr:colOff>
      <xdr:row>30</xdr:row>
      <xdr:rowOff>47625</xdr:rowOff>
    </xdr:from>
    <xdr:to>
      <xdr:col>27</xdr:col>
      <xdr:colOff>133350</xdr:colOff>
      <xdr:row>33</xdr:row>
      <xdr:rowOff>104775</xdr:rowOff>
    </xdr:to>
    <xdr:sp>
      <xdr:nvSpPr>
        <xdr:cNvPr id="8" name="WordArt 91"/>
        <xdr:cNvSpPr>
          <a:spLocks/>
        </xdr:cNvSpPr>
      </xdr:nvSpPr>
      <xdr:spPr>
        <a:xfrm>
          <a:off x="5400675" y="6105525"/>
          <a:ext cx="3476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333300"/>
              </a:solidFill>
              <a:latin typeface="ＭＳ Ｐゴシック"/>
              <a:ea typeface="ＭＳ Ｐゴシック"/>
              <a:cs typeface="ＭＳ Ｐゴシック"/>
            </a:rPr>
            <a:t>静かな住環境、設備も充実、都市ガス物件</a:t>
          </a:r>
        </a:p>
      </xdr:txBody>
    </xdr:sp>
    <xdr:clientData/>
  </xdr:twoCellAnchor>
  <xdr:twoCellAnchor>
    <xdr:from>
      <xdr:col>19</xdr:col>
      <xdr:colOff>142875</xdr:colOff>
      <xdr:row>1</xdr:row>
      <xdr:rowOff>123825</xdr:rowOff>
    </xdr:from>
    <xdr:to>
      <xdr:col>24</xdr:col>
      <xdr:colOff>323850</xdr:colOff>
      <xdr:row>5</xdr:row>
      <xdr:rowOff>0</xdr:rowOff>
    </xdr:to>
    <xdr:sp>
      <xdr:nvSpPr>
        <xdr:cNvPr id="9" name="WordArt 119"/>
        <xdr:cNvSpPr>
          <a:spLocks/>
        </xdr:cNvSpPr>
      </xdr:nvSpPr>
      <xdr:spPr>
        <a:xfrm>
          <a:off x="6143625" y="238125"/>
          <a:ext cx="1895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47,000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40</xdr:row>
      <xdr:rowOff>28575</xdr:rowOff>
    </xdr:from>
    <xdr:to>
      <xdr:col>21</xdr:col>
      <xdr:colOff>95250</xdr:colOff>
      <xdr:row>40</xdr:row>
      <xdr:rowOff>323850</xdr:rowOff>
    </xdr:to>
    <xdr:pic>
      <xdr:nvPicPr>
        <xdr:cNvPr id="1" name="Picture 17" descr="ho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40</xdr:row>
      <xdr:rowOff>28575</xdr:rowOff>
    </xdr:from>
    <xdr:to>
      <xdr:col>21</xdr:col>
      <xdr:colOff>95250</xdr:colOff>
      <xdr:row>40</xdr:row>
      <xdr:rowOff>323850</xdr:rowOff>
    </xdr:to>
    <xdr:pic>
      <xdr:nvPicPr>
        <xdr:cNvPr id="1" name="Picture 14" descr="ho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40</xdr:row>
      <xdr:rowOff>28575</xdr:rowOff>
    </xdr:from>
    <xdr:to>
      <xdr:col>21</xdr:col>
      <xdr:colOff>95250</xdr:colOff>
      <xdr:row>40</xdr:row>
      <xdr:rowOff>323850</xdr:rowOff>
    </xdr:to>
    <xdr:pic>
      <xdr:nvPicPr>
        <xdr:cNvPr id="1" name="Picture 14" descr="ho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40</xdr:row>
      <xdr:rowOff>28575</xdr:rowOff>
    </xdr:from>
    <xdr:to>
      <xdr:col>21</xdr:col>
      <xdr:colOff>95250</xdr:colOff>
      <xdr:row>40</xdr:row>
      <xdr:rowOff>323850</xdr:rowOff>
    </xdr:to>
    <xdr:pic>
      <xdr:nvPicPr>
        <xdr:cNvPr id="1" name="Picture 18" descr="ho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40</xdr:row>
      <xdr:rowOff>28575</xdr:rowOff>
    </xdr:from>
    <xdr:to>
      <xdr:col>21</xdr:col>
      <xdr:colOff>95250</xdr:colOff>
      <xdr:row>40</xdr:row>
      <xdr:rowOff>323850</xdr:rowOff>
    </xdr:to>
    <xdr:pic>
      <xdr:nvPicPr>
        <xdr:cNvPr id="1" name="Picture 21" descr="ho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40</xdr:row>
      <xdr:rowOff>28575</xdr:rowOff>
    </xdr:from>
    <xdr:to>
      <xdr:col>21</xdr:col>
      <xdr:colOff>95250</xdr:colOff>
      <xdr:row>40</xdr:row>
      <xdr:rowOff>323850</xdr:rowOff>
    </xdr:to>
    <xdr:pic>
      <xdr:nvPicPr>
        <xdr:cNvPr id="1" name="Picture 17" descr="ho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tabSelected="1" zoomScaleSheetLayoutView="100" zoomScalePageLayoutView="0" workbookViewId="0" topLeftCell="I1">
      <selection activeCell="AY21" sqref="AY21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2.75390625" style="1" customWidth="1"/>
    <col min="42" max="42" width="8.50390625" style="1" hidden="1" customWidth="1"/>
    <col min="43" max="43" width="11.625" style="9" hidden="1" customWidth="1"/>
    <col min="44" max="44" width="11.00390625" style="1" hidden="1" customWidth="1"/>
    <col min="45" max="45" width="11.375" style="1" hidden="1" customWidth="1"/>
    <col min="46" max="50" width="6.50390625" style="1" hidden="1" customWidth="1"/>
    <col min="51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2" ht="14.25" customHeight="1">
      <c r="A2" s="20"/>
      <c r="B2" s="153" t="s">
        <v>244</v>
      </c>
      <c r="C2" s="154"/>
      <c r="D2" s="154"/>
      <c r="E2" s="154"/>
      <c r="F2" s="154"/>
      <c r="G2" s="154"/>
      <c r="H2" s="154"/>
      <c r="I2" s="154"/>
      <c r="J2" s="154"/>
      <c r="K2" s="21"/>
      <c r="L2" s="154" t="s">
        <v>245</v>
      </c>
      <c r="M2" s="154"/>
      <c r="N2" s="154"/>
      <c r="O2" s="154"/>
      <c r="P2" s="154"/>
      <c r="Q2" s="154"/>
      <c r="R2" s="159"/>
      <c r="S2" s="162" t="s">
        <v>62</v>
      </c>
      <c r="T2" s="169" t="s">
        <v>243</v>
      </c>
      <c r="U2" s="170"/>
      <c r="V2" s="170"/>
      <c r="W2" s="170"/>
      <c r="X2" s="170"/>
      <c r="Y2" s="170"/>
      <c r="Z2" s="170"/>
      <c r="AA2" s="170"/>
      <c r="AB2" s="171"/>
      <c r="AC2" s="21"/>
      <c r="AD2" s="178" t="s">
        <v>247</v>
      </c>
      <c r="AE2" s="179"/>
      <c r="AF2" s="179"/>
      <c r="AG2" s="179"/>
      <c r="AH2" s="179"/>
      <c r="AI2" s="179"/>
      <c r="AJ2" s="184" t="s">
        <v>246</v>
      </c>
      <c r="AK2" s="184"/>
      <c r="AL2" s="184"/>
      <c r="AM2" s="184"/>
      <c r="AN2" s="185"/>
      <c r="AO2" s="22"/>
      <c r="AP2" s="1" t="s">
        <v>210</v>
      </c>
    </row>
    <row r="3" spans="1:42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56"/>
      <c r="K3" s="21"/>
      <c r="L3" s="156"/>
      <c r="M3" s="156"/>
      <c r="N3" s="156"/>
      <c r="O3" s="156"/>
      <c r="P3" s="156"/>
      <c r="Q3" s="156"/>
      <c r="R3" s="160"/>
      <c r="S3" s="163"/>
      <c r="T3" s="172"/>
      <c r="U3" s="173"/>
      <c r="V3" s="173"/>
      <c r="W3" s="173"/>
      <c r="X3" s="173"/>
      <c r="Y3" s="173"/>
      <c r="Z3" s="173"/>
      <c r="AA3" s="173"/>
      <c r="AB3" s="174"/>
      <c r="AC3" s="21"/>
      <c r="AD3" s="180"/>
      <c r="AE3" s="181"/>
      <c r="AF3" s="181"/>
      <c r="AG3" s="181"/>
      <c r="AH3" s="181"/>
      <c r="AI3" s="181"/>
      <c r="AJ3" s="186"/>
      <c r="AK3" s="186"/>
      <c r="AL3" s="186"/>
      <c r="AM3" s="186"/>
      <c r="AN3" s="187"/>
      <c r="AO3" s="22"/>
      <c r="AP3" s="1" t="s">
        <v>79</v>
      </c>
    </row>
    <row r="4" spans="1:43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56"/>
      <c r="K4" s="21"/>
      <c r="L4" s="156"/>
      <c r="M4" s="156"/>
      <c r="N4" s="156"/>
      <c r="O4" s="156"/>
      <c r="P4" s="156"/>
      <c r="Q4" s="156"/>
      <c r="R4" s="160"/>
      <c r="S4" s="163"/>
      <c r="T4" s="172"/>
      <c r="U4" s="173"/>
      <c r="V4" s="173"/>
      <c r="W4" s="173"/>
      <c r="X4" s="173"/>
      <c r="Y4" s="173"/>
      <c r="Z4" s="173"/>
      <c r="AA4" s="173"/>
      <c r="AB4" s="174"/>
      <c r="AC4" s="21"/>
      <c r="AD4" s="180"/>
      <c r="AE4" s="181"/>
      <c r="AF4" s="181"/>
      <c r="AG4" s="181"/>
      <c r="AH4" s="181"/>
      <c r="AI4" s="181"/>
      <c r="AJ4" s="186"/>
      <c r="AK4" s="186"/>
      <c r="AL4" s="186"/>
      <c r="AM4" s="186"/>
      <c r="AN4" s="187"/>
      <c r="AO4" s="22"/>
      <c r="AP4" s="1" t="s">
        <v>80</v>
      </c>
      <c r="AQ4" s="9">
        <v>2000</v>
      </c>
    </row>
    <row r="5" spans="1:42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56"/>
      <c r="K5" s="21"/>
      <c r="L5" s="156"/>
      <c r="M5" s="156"/>
      <c r="N5" s="156"/>
      <c r="O5" s="156"/>
      <c r="P5" s="156"/>
      <c r="Q5" s="156"/>
      <c r="R5" s="160"/>
      <c r="S5" s="163"/>
      <c r="T5" s="172"/>
      <c r="U5" s="173"/>
      <c r="V5" s="173"/>
      <c r="W5" s="173"/>
      <c r="X5" s="173"/>
      <c r="Y5" s="173"/>
      <c r="Z5" s="173"/>
      <c r="AA5" s="173"/>
      <c r="AB5" s="174"/>
      <c r="AC5" s="21"/>
      <c r="AD5" s="165">
        <f>TEXT(N($AQ$2),"バス#分;;")</f>
      </c>
      <c r="AE5" s="166"/>
      <c r="AF5" s="166">
        <f>IF($AQ$3&lt;&gt;"",$AQ$3&amp;"下車","")</f>
      </c>
      <c r="AG5" s="182"/>
      <c r="AH5" s="182"/>
      <c r="AI5" s="182"/>
      <c r="AJ5" s="182"/>
      <c r="AK5" s="182"/>
      <c r="AL5" s="166" t="s">
        <v>248</v>
      </c>
      <c r="AM5" s="166"/>
      <c r="AN5" s="188"/>
      <c r="AO5" s="22"/>
      <c r="AP5" s="1" t="s">
        <v>82</v>
      </c>
    </row>
    <row r="6" spans="1:42" ht="11.25" customHeight="1">
      <c r="A6" s="20"/>
      <c r="B6" s="157"/>
      <c r="C6" s="158"/>
      <c r="D6" s="158"/>
      <c r="E6" s="158"/>
      <c r="F6" s="158"/>
      <c r="G6" s="158"/>
      <c r="H6" s="158"/>
      <c r="I6" s="158"/>
      <c r="J6" s="158"/>
      <c r="K6" s="21"/>
      <c r="L6" s="158"/>
      <c r="M6" s="158"/>
      <c r="N6" s="158"/>
      <c r="O6" s="158"/>
      <c r="P6" s="158"/>
      <c r="Q6" s="158"/>
      <c r="R6" s="161"/>
      <c r="S6" s="164"/>
      <c r="T6" s="175"/>
      <c r="U6" s="176"/>
      <c r="V6" s="176"/>
      <c r="W6" s="176"/>
      <c r="X6" s="176"/>
      <c r="Y6" s="176"/>
      <c r="Z6" s="176"/>
      <c r="AA6" s="176"/>
      <c r="AB6" s="177"/>
      <c r="AC6" s="21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P6" s="1" t="s">
        <v>81</v>
      </c>
    </row>
    <row r="7" spans="1:56" s="3" customFormat="1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4" t="s">
        <v>1</v>
      </c>
      <c r="AE7" s="190" t="s">
        <v>273</v>
      </c>
      <c r="AF7" s="191"/>
      <c r="AG7" s="191"/>
      <c r="AH7" s="191"/>
      <c r="AI7" s="191"/>
      <c r="AJ7" s="191"/>
      <c r="AK7" s="191"/>
      <c r="AL7" s="191"/>
      <c r="AM7" s="191"/>
      <c r="AN7" s="192"/>
      <c r="AO7" s="22"/>
      <c r="AP7" s="1" t="s">
        <v>83</v>
      </c>
      <c r="AQ7" s="9">
        <v>60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" customFormat="1" ht="25.5" customHeight="1">
      <c r="A8" s="25"/>
      <c r="B8" s="198"/>
      <c r="C8" s="198"/>
      <c r="D8" s="198"/>
      <c r="E8" s="198"/>
      <c r="F8" s="198"/>
      <c r="G8" s="198"/>
      <c r="H8" s="198"/>
      <c r="I8" s="198"/>
      <c r="J8" s="198"/>
      <c r="K8" s="2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0"/>
      <c r="AD8" s="28" t="s">
        <v>14</v>
      </c>
      <c r="AE8" s="193" t="s">
        <v>274</v>
      </c>
      <c r="AF8" s="194"/>
      <c r="AG8" s="194"/>
      <c r="AH8" s="194"/>
      <c r="AI8" s="194"/>
      <c r="AJ8" s="194"/>
      <c r="AK8" s="100"/>
      <c r="AL8" s="100"/>
      <c r="AM8" s="100"/>
      <c r="AN8" s="101"/>
      <c r="AO8" s="22"/>
      <c r="AP8" s="1" t="s">
        <v>84</v>
      </c>
      <c r="AQ8" s="9">
        <v>4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43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2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0"/>
      <c r="AD9" s="120" t="s">
        <v>17</v>
      </c>
      <c r="AE9" s="97" t="s">
        <v>37</v>
      </c>
      <c r="AF9" s="98"/>
      <c r="AG9" s="98"/>
      <c r="AH9" s="99"/>
      <c r="AI9" s="135" t="s">
        <v>276</v>
      </c>
      <c r="AJ9" s="136"/>
      <c r="AK9" s="136"/>
      <c r="AL9" s="136"/>
      <c r="AM9" s="136"/>
      <c r="AN9" s="137"/>
      <c r="AO9" s="22"/>
      <c r="AP9" s="1" t="s">
        <v>85</v>
      </c>
      <c r="AQ9" s="9">
        <v>4</v>
      </c>
    </row>
    <row r="10" spans="1:43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2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0"/>
      <c r="AD10" s="121"/>
      <c r="AE10" s="97" t="s">
        <v>211</v>
      </c>
      <c r="AF10" s="98"/>
      <c r="AG10" s="98"/>
      <c r="AH10" s="99"/>
      <c r="AI10" s="97" t="s">
        <v>268</v>
      </c>
      <c r="AJ10" s="98"/>
      <c r="AK10" s="98"/>
      <c r="AL10" s="98"/>
      <c r="AM10" s="98"/>
      <c r="AN10" s="99"/>
      <c r="AO10" s="22"/>
      <c r="AP10" s="1" t="s">
        <v>62</v>
      </c>
      <c r="AQ10" s="9">
        <v>61000</v>
      </c>
    </row>
    <row r="11" spans="1:43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2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0"/>
      <c r="AD11" s="121"/>
      <c r="AE11" s="97" t="s">
        <v>15</v>
      </c>
      <c r="AF11" s="100"/>
      <c r="AG11" s="100"/>
      <c r="AH11" s="101"/>
      <c r="AI11" s="97" t="s">
        <v>264</v>
      </c>
      <c r="AJ11" s="98"/>
      <c r="AK11" s="98"/>
      <c r="AL11" s="98"/>
      <c r="AM11" s="98"/>
      <c r="AN11" s="99"/>
      <c r="AO11" s="22"/>
      <c r="AP11" s="1" t="s">
        <v>86</v>
      </c>
      <c r="AQ11" s="9" t="s">
        <v>227</v>
      </c>
    </row>
    <row r="12" spans="1:46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2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0"/>
      <c r="AD12" s="121"/>
      <c r="AE12" s="97" t="s">
        <v>182</v>
      </c>
      <c r="AF12" s="100"/>
      <c r="AG12" s="100"/>
      <c r="AH12" s="101"/>
      <c r="AI12" s="97" t="s">
        <v>275</v>
      </c>
      <c r="AJ12" s="98"/>
      <c r="AK12" s="98"/>
      <c r="AL12" s="98"/>
      <c r="AM12" s="98"/>
      <c r="AN12" s="99"/>
      <c r="AO12" s="22"/>
      <c r="AP12" s="1" t="s">
        <v>87</v>
      </c>
      <c r="AQ12" s="9">
        <v>0</v>
      </c>
      <c r="AR12" s="16" t="str">
        <f>IF(N(AQ12)=0,"-",IF(N(AQ12)&lt;100,AQ12&amp;"ヶ月",TEXT(N(AQ12),"#,###,###円")))</f>
        <v>-</v>
      </c>
      <c r="AS12" s="16" t="str">
        <f>IF(N(AQ12)=0,"-",IF(N(AQ12)&lt;100,N(AQ12)*N(AQ10),N(AQ12)))</f>
        <v>-</v>
      </c>
      <c r="AT12" s="7"/>
    </row>
    <row r="13" spans="1:46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2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0"/>
      <c r="AD13" s="121"/>
      <c r="AE13" s="97" t="s">
        <v>38</v>
      </c>
      <c r="AF13" s="100"/>
      <c r="AG13" s="100"/>
      <c r="AH13" s="101"/>
      <c r="AI13" s="97" t="s">
        <v>265</v>
      </c>
      <c r="AJ13" s="98"/>
      <c r="AK13" s="98"/>
      <c r="AL13" s="98"/>
      <c r="AM13" s="98"/>
      <c r="AN13" s="99"/>
      <c r="AO13" s="22"/>
      <c r="AP13" s="1" t="s">
        <v>88</v>
      </c>
      <c r="AR13" s="16" t="str">
        <f>IF(N(AQ13)=0,"-",IF(N(AQ13)&lt;100,AQ13&amp;"ヶ月",TEXT(N(AQ13),"#,###,###円")))</f>
        <v>-</v>
      </c>
      <c r="AS13" s="16" t="str">
        <f>IF(N(AQ13)=0,"-",IF(N(AQ13)&lt;100,N(AQ13)*N(AQ10),N(AQ13)))</f>
        <v>-</v>
      </c>
      <c r="AT13" s="7"/>
    </row>
    <row r="14" spans="1:46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2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0"/>
      <c r="AD14" s="122"/>
      <c r="AE14" s="97" t="s">
        <v>192</v>
      </c>
      <c r="AF14" s="100"/>
      <c r="AG14" s="100"/>
      <c r="AH14" s="101"/>
      <c r="AI14" s="97" t="s">
        <v>249</v>
      </c>
      <c r="AJ14" s="98"/>
      <c r="AK14" s="98"/>
      <c r="AL14" s="98"/>
      <c r="AM14" s="98"/>
      <c r="AN14" s="99"/>
      <c r="AO14" s="22"/>
      <c r="AP14" s="1" t="s">
        <v>89</v>
      </c>
      <c r="AQ14" s="9">
        <v>0</v>
      </c>
      <c r="AR14" s="16" t="str">
        <f>IF(N(AQ14)=0,"-",IF(N(AQ14)&lt;100,AQ14&amp;"ヶ月",TEXT(N(AQ14),"#,###,###円")))</f>
        <v>-</v>
      </c>
      <c r="AS14" s="16" t="str">
        <f>IF(N(AQ14)=0,"-",IF(N(AQ14)&lt;100,N(AQ14)*N(AQ10),N(AQ14)))</f>
        <v>-</v>
      </c>
      <c r="AT14" s="7"/>
    </row>
    <row r="15" spans="1:46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2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0"/>
      <c r="AD15" s="120" t="s">
        <v>39</v>
      </c>
      <c r="AE15" s="97" t="s">
        <v>250</v>
      </c>
      <c r="AF15" s="100"/>
      <c r="AG15" s="100"/>
      <c r="AH15" s="101"/>
      <c r="AI15" s="102" t="s">
        <v>251</v>
      </c>
      <c r="AJ15" s="103"/>
      <c r="AK15" s="103"/>
      <c r="AL15" s="103"/>
      <c r="AM15" s="103"/>
      <c r="AN15" s="104"/>
      <c r="AO15" s="22"/>
      <c r="AP15" s="1" t="s">
        <v>90</v>
      </c>
      <c r="AQ15" s="9">
        <v>300000</v>
      </c>
      <c r="AR15" s="16" t="str">
        <f>IF(N(AQ15)=0,"-",IF(N(AQ15)&lt;100,AQ15&amp;"ヶ月",TEXT(N(AQ15),"#,###,###円")))</f>
        <v>300,000円</v>
      </c>
      <c r="AS15" s="16">
        <f>IF(N(AQ15)=0,"-",IF(N(AQ15)&lt;100,N(AQ15)*N(AQ10),N(AQ15)))</f>
        <v>300000</v>
      </c>
      <c r="AT15" s="7"/>
    </row>
    <row r="16" spans="1:46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2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0"/>
      <c r="AD16" s="130"/>
      <c r="AE16" s="97" t="s">
        <v>252</v>
      </c>
      <c r="AF16" s="100"/>
      <c r="AG16" s="100"/>
      <c r="AH16" s="101"/>
      <c r="AI16" s="102" t="s">
        <v>277</v>
      </c>
      <c r="AJ16" s="103"/>
      <c r="AK16" s="103"/>
      <c r="AL16" s="103"/>
      <c r="AM16" s="103"/>
      <c r="AN16" s="104"/>
      <c r="AO16" s="22"/>
      <c r="AP16" s="1" t="s">
        <v>91</v>
      </c>
      <c r="AQ16" s="9">
        <v>250000</v>
      </c>
      <c r="AR16" s="16" t="str">
        <f>IF(N(AQ16)=0,"-",IF(N(AQ16)&lt;100,AQ16&amp;"ヶ月",IF(N(AQ16)=100,"実費",IF(N(AQ16)&lt;=200,TEXT(N(AQ16)-100,"#""%"""),TEXT(N(AQ16),"#,###,###円")))))</f>
        <v>250,000円</v>
      </c>
      <c r="AS16" s="16"/>
      <c r="AT16" s="7"/>
    </row>
    <row r="17" spans="1:46" ht="15.7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0"/>
      <c r="AD17" s="130"/>
      <c r="AE17" s="97" t="s">
        <v>253</v>
      </c>
      <c r="AF17" s="100"/>
      <c r="AG17" s="100"/>
      <c r="AH17" s="101"/>
      <c r="AI17" s="102" t="s">
        <v>266</v>
      </c>
      <c r="AJ17" s="103"/>
      <c r="AK17" s="103"/>
      <c r="AL17" s="103"/>
      <c r="AM17" s="103"/>
      <c r="AN17" s="104"/>
      <c r="AO17" s="22"/>
      <c r="AP17" s="1" t="s">
        <v>92</v>
      </c>
      <c r="AR17" s="16" t="str">
        <f>IF(N(AQ17)=0,"-",IF(N(AQ17)&lt;99,AQ17&amp;"ヶ月",IF(AQ17=99,"相談",TEXT(N(AQ17),"#,###,###円"))))</f>
        <v>-</v>
      </c>
      <c r="AS17" s="16"/>
      <c r="AT17" s="7"/>
    </row>
    <row r="18" spans="1:44" ht="15.75" customHeight="1">
      <c r="A18" s="20"/>
      <c r="B18" s="199"/>
      <c r="C18" s="199"/>
      <c r="D18" s="199"/>
      <c r="E18" s="199"/>
      <c r="F18" s="199"/>
      <c r="G18" s="199"/>
      <c r="H18" s="199"/>
      <c r="I18" s="199"/>
      <c r="J18" s="199"/>
      <c r="K18" s="33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0"/>
      <c r="AD18" s="130"/>
      <c r="AE18" s="97" t="s">
        <v>254</v>
      </c>
      <c r="AF18" s="100"/>
      <c r="AG18" s="100"/>
      <c r="AH18" s="101"/>
      <c r="AI18" s="102" t="s">
        <v>255</v>
      </c>
      <c r="AJ18" s="103"/>
      <c r="AK18" s="103"/>
      <c r="AL18" s="103"/>
      <c r="AM18" s="103"/>
      <c r="AN18" s="104"/>
      <c r="AO18" s="22"/>
      <c r="AP18" s="1" t="s">
        <v>93</v>
      </c>
      <c r="AQ18" s="9">
        <v>20000</v>
      </c>
      <c r="AR18" s="16"/>
    </row>
    <row r="19" spans="1:44" ht="15.75" customHeight="1">
      <c r="A19" s="20"/>
      <c r="B19" s="199"/>
      <c r="C19" s="199"/>
      <c r="D19" s="199"/>
      <c r="E19" s="199"/>
      <c r="F19" s="199"/>
      <c r="G19" s="199"/>
      <c r="H19" s="199"/>
      <c r="I19" s="199"/>
      <c r="J19" s="199"/>
      <c r="K19" s="33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0"/>
      <c r="AD19" s="130"/>
      <c r="AE19" s="97" t="s">
        <v>257</v>
      </c>
      <c r="AF19" s="100"/>
      <c r="AG19" s="100"/>
      <c r="AH19" s="101"/>
      <c r="AI19" s="97" t="s">
        <v>260</v>
      </c>
      <c r="AJ19" s="98"/>
      <c r="AK19" s="98"/>
      <c r="AL19" s="98"/>
      <c r="AM19" s="98"/>
      <c r="AN19" s="99"/>
      <c r="AO19" s="22"/>
      <c r="AP19" s="1" t="s">
        <v>94</v>
      </c>
      <c r="AQ19" s="9">
        <v>5000</v>
      </c>
      <c r="AR19" s="16"/>
    </row>
    <row r="20" spans="1:42" ht="15.75" customHeight="1">
      <c r="A20" s="20"/>
      <c r="B20" s="199"/>
      <c r="C20" s="199"/>
      <c r="D20" s="199"/>
      <c r="E20" s="199"/>
      <c r="F20" s="199"/>
      <c r="G20" s="199"/>
      <c r="H20" s="199"/>
      <c r="I20" s="199"/>
      <c r="J20" s="199"/>
      <c r="K20" s="33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0"/>
      <c r="AD20" s="130"/>
      <c r="AE20" s="97" t="s">
        <v>206</v>
      </c>
      <c r="AF20" s="100"/>
      <c r="AG20" s="100"/>
      <c r="AH20" s="101"/>
      <c r="AI20" s="102" t="s">
        <v>263</v>
      </c>
      <c r="AJ20" s="103"/>
      <c r="AK20" s="103"/>
      <c r="AL20" s="103"/>
      <c r="AM20" s="103"/>
      <c r="AN20" s="104"/>
      <c r="AO20" s="22"/>
      <c r="AP20" s="1" t="s">
        <v>95</v>
      </c>
    </row>
    <row r="21" spans="1:42" ht="15.75" customHeight="1">
      <c r="A21" s="20"/>
      <c r="B21" s="199"/>
      <c r="C21" s="199"/>
      <c r="D21" s="199"/>
      <c r="E21" s="199"/>
      <c r="F21" s="199"/>
      <c r="G21" s="199"/>
      <c r="H21" s="199"/>
      <c r="I21" s="199"/>
      <c r="J21" s="199"/>
      <c r="K21" s="33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0"/>
      <c r="AD21" s="130"/>
      <c r="AE21" s="97" t="s">
        <v>41</v>
      </c>
      <c r="AF21" s="100"/>
      <c r="AG21" s="100"/>
      <c r="AH21" s="101"/>
      <c r="AI21" s="102" t="s">
        <v>262</v>
      </c>
      <c r="AJ21" s="98"/>
      <c r="AK21" s="98"/>
      <c r="AL21" s="98"/>
      <c r="AM21" s="98"/>
      <c r="AN21" s="99"/>
      <c r="AO21" s="22"/>
      <c r="AP21" s="1" t="s">
        <v>96</v>
      </c>
    </row>
    <row r="22" spans="1:44" ht="15.75" customHeight="1">
      <c r="A22" s="20"/>
      <c r="B22" s="199"/>
      <c r="C22" s="199"/>
      <c r="D22" s="199"/>
      <c r="E22" s="199"/>
      <c r="F22" s="199"/>
      <c r="G22" s="199"/>
      <c r="H22" s="199"/>
      <c r="I22" s="199"/>
      <c r="J22" s="199"/>
      <c r="K22" s="33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0"/>
      <c r="AD22" s="130"/>
      <c r="AE22" s="97" t="s">
        <v>212</v>
      </c>
      <c r="AF22" s="100"/>
      <c r="AG22" s="100"/>
      <c r="AH22" s="101"/>
      <c r="AI22" s="97" t="s">
        <v>261</v>
      </c>
      <c r="AJ22" s="98"/>
      <c r="AK22" s="98"/>
      <c r="AL22" s="98"/>
      <c r="AM22" s="98"/>
      <c r="AN22" s="99"/>
      <c r="AO22" s="22"/>
      <c r="AP22" s="1" t="s">
        <v>122</v>
      </c>
      <c r="AQ22" s="9" t="s">
        <v>223</v>
      </c>
      <c r="AR22" s="1">
        <f>IF(AQ22="新築",AQ22,"")</f>
      </c>
    </row>
    <row r="23" spans="1:45" ht="15.75" customHeight="1">
      <c r="A23" s="20"/>
      <c r="B23" s="199"/>
      <c r="C23" s="199"/>
      <c r="D23" s="199"/>
      <c r="E23" s="199"/>
      <c r="F23" s="199"/>
      <c r="G23" s="199"/>
      <c r="H23" s="199"/>
      <c r="I23" s="199"/>
      <c r="J23" s="199"/>
      <c r="K23" s="33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0"/>
      <c r="AD23" s="130"/>
      <c r="AE23" s="97" t="s">
        <v>184</v>
      </c>
      <c r="AF23" s="100"/>
      <c r="AG23" s="100"/>
      <c r="AH23" s="101"/>
      <c r="AI23" s="97" t="s">
        <v>278</v>
      </c>
      <c r="AJ23" s="98"/>
      <c r="AK23" s="98"/>
      <c r="AL23" s="98"/>
      <c r="AM23" s="98"/>
      <c r="AN23" s="99"/>
      <c r="AO23" s="22"/>
      <c r="AP23" s="2" t="s">
        <v>97</v>
      </c>
      <c r="AQ23" s="9" t="s">
        <v>217</v>
      </c>
      <c r="AS23" s="2"/>
    </row>
    <row r="24" spans="1:45" ht="15.75" customHeight="1">
      <c r="A24" s="20"/>
      <c r="B24" s="199"/>
      <c r="C24" s="199"/>
      <c r="D24" s="199"/>
      <c r="E24" s="199"/>
      <c r="F24" s="199"/>
      <c r="G24" s="199"/>
      <c r="H24" s="199"/>
      <c r="I24" s="199"/>
      <c r="J24" s="199"/>
      <c r="K24" s="33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0"/>
      <c r="AD24" s="123" t="s">
        <v>64</v>
      </c>
      <c r="AE24" s="128" t="s">
        <v>256</v>
      </c>
      <c r="AF24" s="129"/>
      <c r="AG24" s="129"/>
      <c r="AH24" s="129"/>
      <c r="AI24" s="98" t="s">
        <v>267</v>
      </c>
      <c r="AJ24" s="98"/>
      <c r="AK24" s="98"/>
      <c r="AL24" s="98"/>
      <c r="AM24" s="98"/>
      <c r="AN24" s="99"/>
      <c r="AO24" s="22"/>
      <c r="AP24" s="2" t="s">
        <v>98</v>
      </c>
      <c r="AQ24" s="9" t="s">
        <v>225</v>
      </c>
      <c r="AR24" s="2"/>
      <c r="AS24" s="2"/>
    </row>
    <row r="25" spans="1:45" ht="15.75" customHeight="1">
      <c r="A25" s="20"/>
      <c r="B25" s="199"/>
      <c r="C25" s="199"/>
      <c r="D25" s="199"/>
      <c r="E25" s="199"/>
      <c r="F25" s="199"/>
      <c r="G25" s="199"/>
      <c r="H25" s="199"/>
      <c r="I25" s="199"/>
      <c r="J25" s="199"/>
      <c r="K25" s="33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0"/>
      <c r="AD25" s="124"/>
      <c r="AE25" s="97"/>
      <c r="AF25" s="98"/>
      <c r="AG25" s="98"/>
      <c r="AH25" s="98"/>
      <c r="AI25" s="98"/>
      <c r="AJ25" s="98"/>
      <c r="AK25" s="98"/>
      <c r="AL25" s="98"/>
      <c r="AM25" s="98"/>
      <c r="AN25" s="99"/>
      <c r="AO25" s="22"/>
      <c r="AP25" s="2" t="s">
        <v>99</v>
      </c>
      <c r="AQ25" s="9" t="s">
        <v>219</v>
      </c>
      <c r="AR25" s="2"/>
      <c r="AS25" s="2"/>
    </row>
    <row r="26" spans="1:45" ht="15.75" customHeight="1">
      <c r="A26" s="20"/>
      <c r="B26" s="199"/>
      <c r="C26" s="199"/>
      <c r="D26" s="199"/>
      <c r="E26" s="199"/>
      <c r="F26" s="199"/>
      <c r="G26" s="199"/>
      <c r="H26" s="199"/>
      <c r="I26" s="199"/>
      <c r="J26" s="199"/>
      <c r="K26" s="33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0"/>
      <c r="AD26" s="120" t="s">
        <v>12</v>
      </c>
      <c r="AE26" s="117" t="s">
        <v>269</v>
      </c>
      <c r="AF26" s="117"/>
      <c r="AG26" s="117"/>
      <c r="AH26" s="117"/>
      <c r="AI26" s="117"/>
      <c r="AJ26" s="117"/>
      <c r="AK26" s="117"/>
      <c r="AL26" s="117"/>
      <c r="AM26" s="117"/>
      <c r="AN26" s="117"/>
      <c r="AO26" s="22"/>
      <c r="AP26" s="2" t="s">
        <v>100</v>
      </c>
      <c r="AQ26" s="9" t="s">
        <v>220</v>
      </c>
      <c r="AR26" s="2"/>
      <c r="AS26" s="2"/>
    </row>
    <row r="27" spans="1:54" ht="15.75" customHeight="1">
      <c r="A27" s="20"/>
      <c r="B27" s="199"/>
      <c r="C27" s="199"/>
      <c r="D27" s="199"/>
      <c r="E27" s="199"/>
      <c r="F27" s="199"/>
      <c r="G27" s="199"/>
      <c r="H27" s="199"/>
      <c r="I27" s="199"/>
      <c r="J27" s="199"/>
      <c r="K27" s="33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0"/>
      <c r="AD27" s="121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22"/>
      <c r="AP27" s="2" t="s">
        <v>101</v>
      </c>
      <c r="AQ27" s="9" t="s">
        <v>218</v>
      </c>
      <c r="AR27" s="2"/>
      <c r="AS27" s="2"/>
      <c r="BB27" s="96"/>
    </row>
    <row r="28" spans="1:45" ht="15.75" customHeight="1">
      <c r="A28" s="20"/>
      <c r="B28" s="195">
        <f>$AQ$55&amp;""</f>
      </c>
      <c r="C28" s="195"/>
      <c r="D28" s="195"/>
      <c r="E28" s="195"/>
      <c r="F28" s="195"/>
      <c r="G28" s="195"/>
      <c r="H28" s="195"/>
      <c r="I28" s="195"/>
      <c r="J28" s="195"/>
      <c r="K28" s="35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0"/>
      <c r="AD28" s="121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22"/>
      <c r="AP28" s="2" t="s">
        <v>102</v>
      </c>
      <c r="AQ28" s="9" t="s">
        <v>221</v>
      </c>
      <c r="AR28" s="2"/>
      <c r="AS28" s="2"/>
    </row>
    <row r="29" spans="1:45" ht="15.75" customHeight="1">
      <c r="A29" s="20"/>
      <c r="B29" s="199"/>
      <c r="C29" s="199"/>
      <c r="D29" s="199"/>
      <c r="E29" s="199"/>
      <c r="F29" s="199"/>
      <c r="G29" s="199"/>
      <c r="H29" s="199"/>
      <c r="I29" s="199"/>
      <c r="J29" s="199"/>
      <c r="K29" s="33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0"/>
      <c r="AD29" s="121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22"/>
      <c r="AP29" s="2" t="s">
        <v>103</v>
      </c>
      <c r="AQ29" s="9" t="s">
        <v>224</v>
      </c>
      <c r="AR29" s="2"/>
      <c r="AS29" s="2"/>
    </row>
    <row r="30" spans="1:45" ht="15.75" customHeight="1">
      <c r="A30" s="20"/>
      <c r="B30" s="199"/>
      <c r="C30" s="199"/>
      <c r="D30" s="199"/>
      <c r="E30" s="199"/>
      <c r="F30" s="199"/>
      <c r="G30" s="199"/>
      <c r="H30" s="199"/>
      <c r="I30" s="199"/>
      <c r="J30" s="199"/>
      <c r="K30" s="33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0"/>
      <c r="AD30" s="121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22"/>
      <c r="AP30" s="2" t="s">
        <v>104</v>
      </c>
      <c r="AQ30" s="11" t="s">
        <v>222</v>
      </c>
      <c r="AR30" s="2"/>
      <c r="AS30" s="2"/>
    </row>
    <row r="31" spans="1:45" ht="15.75" customHeight="1">
      <c r="A31" s="20"/>
      <c r="B31" s="199"/>
      <c r="C31" s="199"/>
      <c r="D31" s="199"/>
      <c r="E31" s="199"/>
      <c r="F31" s="199"/>
      <c r="G31" s="199"/>
      <c r="H31" s="199"/>
      <c r="I31" s="199"/>
      <c r="J31" s="199"/>
      <c r="K31" s="33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0"/>
      <c r="AD31" s="121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22"/>
      <c r="AP31" s="2" t="s">
        <v>105</v>
      </c>
      <c r="AQ31" s="9" t="s">
        <v>228</v>
      </c>
      <c r="AR31" s="107"/>
      <c r="AS31" s="107"/>
    </row>
    <row r="32" spans="1:45" ht="15.75" customHeight="1">
      <c r="A32" s="20"/>
      <c r="B32" s="199"/>
      <c r="C32" s="199"/>
      <c r="D32" s="199"/>
      <c r="E32" s="199"/>
      <c r="F32" s="199"/>
      <c r="G32" s="199"/>
      <c r="H32" s="199"/>
      <c r="I32" s="199"/>
      <c r="J32" s="199"/>
      <c r="K32" s="33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0"/>
      <c r="AD32" s="121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22"/>
      <c r="AP32" s="2" t="s">
        <v>106</v>
      </c>
      <c r="AQ32" s="9">
        <v>2</v>
      </c>
      <c r="AR32" s="2"/>
      <c r="AS32" s="2"/>
    </row>
    <row r="33" spans="1:45" ht="15.75" customHeight="1">
      <c r="A33" s="20"/>
      <c r="B33" s="199"/>
      <c r="C33" s="199"/>
      <c r="D33" s="199"/>
      <c r="E33" s="199"/>
      <c r="F33" s="199"/>
      <c r="G33" s="199"/>
      <c r="H33" s="199"/>
      <c r="I33" s="199"/>
      <c r="J33" s="199"/>
      <c r="K33" s="33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0"/>
      <c r="AD33" s="122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22"/>
      <c r="AP33" s="2" t="s">
        <v>107</v>
      </c>
      <c r="AR33" s="2"/>
      <c r="AS33" s="2"/>
    </row>
    <row r="34" spans="1:45" ht="15.75" customHeight="1">
      <c r="A34" s="20"/>
      <c r="B34" s="199"/>
      <c r="C34" s="199"/>
      <c r="D34" s="199"/>
      <c r="E34" s="199"/>
      <c r="F34" s="199"/>
      <c r="G34" s="199"/>
      <c r="H34" s="199"/>
      <c r="I34" s="199"/>
      <c r="J34" s="199"/>
      <c r="K34" s="33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0"/>
      <c r="AD34" s="121" t="s">
        <v>55</v>
      </c>
      <c r="AE34" s="108" t="s">
        <v>279</v>
      </c>
      <c r="AF34" s="109"/>
      <c r="AG34" s="109"/>
      <c r="AH34" s="109"/>
      <c r="AI34" s="109"/>
      <c r="AJ34" s="109"/>
      <c r="AK34" s="109"/>
      <c r="AL34" s="109"/>
      <c r="AM34" s="109"/>
      <c r="AN34" s="110"/>
      <c r="AO34" s="22"/>
      <c r="AP34" s="2" t="s">
        <v>108</v>
      </c>
      <c r="AR34" s="2"/>
      <c r="AS34" s="2"/>
    </row>
    <row r="35" spans="1:45" ht="15.75" customHeight="1">
      <c r="A35" s="20"/>
      <c r="B35" s="199"/>
      <c r="C35" s="199"/>
      <c r="D35" s="199"/>
      <c r="E35" s="199"/>
      <c r="F35" s="199"/>
      <c r="G35" s="199"/>
      <c r="H35" s="199"/>
      <c r="I35" s="199"/>
      <c r="J35" s="199"/>
      <c r="K35" s="33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0"/>
      <c r="AD35" s="121"/>
      <c r="AE35" s="111"/>
      <c r="AF35" s="112"/>
      <c r="AG35" s="112"/>
      <c r="AH35" s="112"/>
      <c r="AI35" s="112"/>
      <c r="AJ35" s="112"/>
      <c r="AK35" s="112"/>
      <c r="AL35" s="112"/>
      <c r="AM35" s="112"/>
      <c r="AN35" s="113"/>
      <c r="AO35" s="22"/>
      <c r="AP35" s="2" t="s">
        <v>109</v>
      </c>
      <c r="AQ35" s="9" t="s">
        <v>230</v>
      </c>
      <c r="AR35" s="105"/>
      <c r="AS35" s="106"/>
    </row>
    <row r="36" spans="1:45" ht="15.75" customHeight="1">
      <c r="A36" s="20"/>
      <c r="B36" s="199"/>
      <c r="C36" s="199"/>
      <c r="D36" s="199"/>
      <c r="E36" s="199"/>
      <c r="F36" s="199"/>
      <c r="G36" s="199"/>
      <c r="H36" s="199"/>
      <c r="I36" s="199"/>
      <c r="J36" s="199"/>
      <c r="K36" s="33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0"/>
      <c r="AD36" s="121"/>
      <c r="AE36" s="111"/>
      <c r="AF36" s="112"/>
      <c r="AG36" s="112"/>
      <c r="AH36" s="112"/>
      <c r="AI36" s="112"/>
      <c r="AJ36" s="112"/>
      <c r="AK36" s="112"/>
      <c r="AL36" s="112"/>
      <c r="AM36" s="112"/>
      <c r="AN36" s="113"/>
      <c r="AO36" s="22"/>
      <c r="AP36" s="2" t="s">
        <v>110</v>
      </c>
      <c r="AQ36" s="11" t="s">
        <v>231</v>
      </c>
      <c r="AR36" s="105"/>
      <c r="AS36" s="106"/>
    </row>
    <row r="37" spans="1:45" ht="15.75" customHeight="1">
      <c r="A37" s="20"/>
      <c r="B37" s="199"/>
      <c r="C37" s="199"/>
      <c r="D37" s="199"/>
      <c r="E37" s="199"/>
      <c r="F37" s="199"/>
      <c r="G37" s="199"/>
      <c r="H37" s="199"/>
      <c r="I37" s="199"/>
      <c r="J37" s="199"/>
      <c r="K37" s="33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0"/>
      <c r="AD37" s="121"/>
      <c r="AE37" s="111"/>
      <c r="AF37" s="112"/>
      <c r="AG37" s="112"/>
      <c r="AH37" s="112"/>
      <c r="AI37" s="112"/>
      <c r="AJ37" s="112"/>
      <c r="AK37" s="112"/>
      <c r="AL37" s="112"/>
      <c r="AM37" s="112"/>
      <c r="AN37" s="113"/>
      <c r="AO37" s="22"/>
      <c r="AP37" s="2" t="s">
        <v>111</v>
      </c>
      <c r="AQ37" s="9" t="s">
        <v>229</v>
      </c>
      <c r="AR37" s="2"/>
      <c r="AS37" s="2"/>
    </row>
    <row r="38" spans="1:45" ht="15.75" customHeight="1">
      <c r="A38" s="20"/>
      <c r="B38" s="199"/>
      <c r="C38" s="199"/>
      <c r="D38" s="199"/>
      <c r="E38" s="199"/>
      <c r="F38" s="199"/>
      <c r="G38" s="199"/>
      <c r="H38" s="199"/>
      <c r="I38" s="199"/>
      <c r="J38" s="199"/>
      <c r="K38" s="33"/>
      <c r="L38" s="196">
        <f>$AQ$54&amp;""</f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0"/>
      <c r="AD38" s="122"/>
      <c r="AE38" s="114"/>
      <c r="AF38" s="115"/>
      <c r="AG38" s="115"/>
      <c r="AH38" s="115"/>
      <c r="AI38" s="115"/>
      <c r="AJ38" s="115"/>
      <c r="AK38" s="115"/>
      <c r="AL38" s="115"/>
      <c r="AM38" s="115"/>
      <c r="AN38" s="116"/>
      <c r="AO38" s="22"/>
      <c r="AP38" s="2" t="s">
        <v>178</v>
      </c>
      <c r="AR38" s="105"/>
      <c r="AS38" s="106"/>
    </row>
    <row r="39" spans="1:45" ht="15.75" customHeight="1">
      <c r="A39" s="20"/>
      <c r="B39" s="195">
        <f>$AQ$56&amp;""</f>
      </c>
      <c r="C39" s="195"/>
      <c r="D39" s="195"/>
      <c r="E39" s="195"/>
      <c r="F39" s="195"/>
      <c r="G39" s="195"/>
      <c r="H39" s="195"/>
      <c r="I39" s="195"/>
      <c r="J39" s="195"/>
      <c r="K39" s="3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0"/>
      <c r="AD39" s="125"/>
      <c r="AE39" s="126"/>
      <c r="AF39" s="126"/>
      <c r="AG39" s="126"/>
      <c r="AH39" s="127"/>
      <c r="AI39" s="128"/>
      <c r="AJ39" s="129"/>
      <c r="AK39" s="129"/>
      <c r="AL39" s="129"/>
      <c r="AM39" s="129"/>
      <c r="AN39" s="143"/>
      <c r="AO39" s="22"/>
      <c r="AP39" s="2" t="s">
        <v>112</v>
      </c>
      <c r="AQ39" s="9" t="s">
        <v>234</v>
      </c>
      <c r="AR39" s="2"/>
      <c r="AS39" s="2"/>
    </row>
    <row r="40" spans="1:45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10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  <c r="AP40" s="2" t="s">
        <v>55</v>
      </c>
      <c r="AR40" s="2"/>
      <c r="AS40" s="2"/>
    </row>
    <row r="41" spans="1:45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42"/>
      <c r="AC41" s="42"/>
      <c r="AD41" s="43"/>
      <c r="AE41" s="42" t="s">
        <v>270</v>
      </c>
      <c r="AF41" s="9"/>
      <c r="AG41" s="9"/>
      <c r="AH41" s="9"/>
      <c r="AI41" s="9"/>
      <c r="AJ41" s="9"/>
      <c r="AK41" s="9"/>
      <c r="AL41" s="9"/>
      <c r="AM41" s="9"/>
      <c r="AN41" s="44"/>
      <c r="AO41" s="45"/>
      <c r="AP41" s="2" t="s">
        <v>123</v>
      </c>
      <c r="AR41" s="2"/>
      <c r="AS41" s="2"/>
    </row>
    <row r="42" spans="1:45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2" t="s">
        <v>117</v>
      </c>
      <c r="AQ42" s="9" t="s">
        <v>226</v>
      </c>
      <c r="AR42" s="2"/>
      <c r="AS42" s="2"/>
    </row>
    <row r="43" spans="1:45" ht="15.75" customHeight="1">
      <c r="A43" s="20"/>
      <c r="B43" s="145" t="str">
        <f>$AQ$44&amp;""</f>
        <v>有限会社人気ホーム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 t="s">
        <v>258</v>
      </c>
      <c r="U43" s="150"/>
      <c r="V43" s="150"/>
      <c r="W43" s="150"/>
      <c r="X43" s="150"/>
      <c r="Y43" s="150"/>
      <c r="Z43" s="150"/>
      <c r="AA43" s="150"/>
      <c r="AB43" s="150"/>
      <c r="AC43" s="46"/>
      <c r="AD43" s="10"/>
      <c r="AE43" s="138" t="s">
        <v>42</v>
      </c>
      <c r="AF43" s="139"/>
      <c r="AG43" s="139"/>
      <c r="AH43" s="140"/>
      <c r="AI43" s="141" t="str">
        <f>$AQ$52&amp;""</f>
        <v>専任</v>
      </c>
      <c r="AJ43" s="142"/>
      <c r="AK43" s="142"/>
      <c r="AL43" s="47" t="str">
        <f>$AQ$53&amp;""</f>
        <v>★</v>
      </c>
      <c r="AM43" s="47"/>
      <c r="AN43" s="48"/>
      <c r="AO43" s="22"/>
      <c r="AP43" s="2" t="s">
        <v>113</v>
      </c>
      <c r="AQ43" s="9">
        <v>52</v>
      </c>
      <c r="AR43" s="2"/>
      <c r="AS43" s="2"/>
    </row>
    <row r="44" spans="1:45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10"/>
      <c r="AE44" s="138" t="s">
        <v>43</v>
      </c>
      <c r="AF44" s="146"/>
      <c r="AG44" s="146"/>
      <c r="AH44" s="147"/>
      <c r="AI44" s="50" t="s">
        <v>44</v>
      </c>
      <c r="AJ44" s="133" t="str">
        <f>IF(ISNUMBER(AQ20),(100-AQ20)&amp;"%",$AM$44)</f>
        <v>-</v>
      </c>
      <c r="AK44" s="134"/>
      <c r="AL44" s="51" t="s">
        <v>45</v>
      </c>
      <c r="AM44" s="133" t="str">
        <f>IF(ISNUMBER($AQ$20),$AQ$20&amp;"%",IF($AQ$20&lt;&gt;"",$AQ$20&amp;"","-"))</f>
        <v>-</v>
      </c>
      <c r="AN44" s="134"/>
      <c r="AO44" s="22"/>
      <c r="AP44" s="2" t="s">
        <v>114</v>
      </c>
      <c r="AQ44" s="9" t="s">
        <v>236</v>
      </c>
      <c r="AR44" s="2"/>
      <c r="AS44" s="2"/>
    </row>
    <row r="45" spans="1:43" ht="18.75" customHeight="1">
      <c r="A45" s="20"/>
      <c r="B45" s="52"/>
      <c r="C45" s="152" t="s">
        <v>271</v>
      </c>
      <c r="D45" s="152"/>
      <c r="E45" s="152"/>
      <c r="F45" s="152" t="s">
        <v>272</v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0"/>
      <c r="T45" s="149" t="s">
        <v>259</v>
      </c>
      <c r="U45" s="149"/>
      <c r="V45" s="149"/>
      <c r="W45" s="149"/>
      <c r="X45" s="149"/>
      <c r="Y45" s="149"/>
      <c r="Z45" s="149"/>
      <c r="AA45" s="149"/>
      <c r="AB45" s="149"/>
      <c r="AC45" s="10"/>
      <c r="AD45" s="10"/>
      <c r="AE45" s="138" t="s">
        <v>46</v>
      </c>
      <c r="AF45" s="139"/>
      <c r="AG45" s="139"/>
      <c r="AH45" s="140"/>
      <c r="AI45" s="50" t="s">
        <v>47</v>
      </c>
      <c r="AJ45" s="133" t="str">
        <f>IF(ISNUMBER(AQ21),(100-AQ21)&amp;"%",$AM$45)</f>
        <v>-</v>
      </c>
      <c r="AK45" s="134"/>
      <c r="AL45" s="51" t="s">
        <v>48</v>
      </c>
      <c r="AM45" s="133" t="str">
        <f>IF(ISNUMBER($AQ$21),$AQ$21&amp;"%",IF($AQ$21&lt;&gt;"",$AQ$21&amp;"","-"))</f>
        <v>-</v>
      </c>
      <c r="AN45" s="134"/>
      <c r="AO45" s="22"/>
      <c r="AP45" s="1" t="s">
        <v>213</v>
      </c>
      <c r="AQ45" s="9" t="s">
        <v>237</v>
      </c>
    </row>
    <row r="46" spans="1:43" ht="7.5" customHeight="1">
      <c r="A46" s="20"/>
      <c r="B46" s="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31"/>
      <c r="AF46" s="31"/>
      <c r="AG46" s="31"/>
      <c r="AH46" s="31"/>
      <c r="AI46" s="31"/>
      <c r="AJ46" s="31"/>
      <c r="AK46" s="53"/>
      <c r="AL46" s="31"/>
      <c r="AM46" s="31"/>
      <c r="AN46" s="53"/>
      <c r="AO46" s="22"/>
      <c r="AP46" s="1" t="s">
        <v>115</v>
      </c>
      <c r="AQ46" s="9" t="s">
        <v>238</v>
      </c>
    </row>
    <row r="47" spans="1:43" ht="18.75" customHeight="1" thickBot="1">
      <c r="A47" s="36"/>
      <c r="B47" s="5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37"/>
      <c r="T47" s="148"/>
      <c r="U47" s="148"/>
      <c r="V47" s="148"/>
      <c r="W47" s="148"/>
      <c r="X47" s="148"/>
      <c r="Y47" s="148"/>
      <c r="Z47" s="148"/>
      <c r="AA47" s="148"/>
      <c r="AB47" s="37"/>
      <c r="AC47" s="37"/>
      <c r="AD47" s="37"/>
      <c r="AE47" s="151"/>
      <c r="AF47" s="151"/>
      <c r="AG47" s="151"/>
      <c r="AH47" s="151"/>
      <c r="AI47" s="131"/>
      <c r="AJ47" s="132"/>
      <c r="AK47" s="132"/>
      <c r="AL47" s="132"/>
      <c r="AM47" s="132"/>
      <c r="AN47" s="132"/>
      <c r="AO47" s="40"/>
      <c r="AP47" s="1" t="s">
        <v>214</v>
      </c>
      <c r="AQ47" s="9" t="s">
        <v>239</v>
      </c>
    </row>
    <row r="48" spans="42:43" ht="14.25">
      <c r="AP48" s="1" t="s">
        <v>215</v>
      </c>
      <c r="AQ48" s="9" t="s">
        <v>240</v>
      </c>
    </row>
    <row r="49" spans="42:43" ht="14.25">
      <c r="AP49" s="1" t="s">
        <v>216</v>
      </c>
      <c r="AQ49" s="9" t="s">
        <v>241</v>
      </c>
    </row>
    <row r="50" spans="42:43" ht="14.25">
      <c r="AP50" s="1" t="s">
        <v>124</v>
      </c>
      <c r="AQ50" s="9" t="s">
        <v>242</v>
      </c>
    </row>
    <row r="51" spans="42:43" ht="14.25">
      <c r="AP51" s="1" t="s">
        <v>116</v>
      </c>
      <c r="AQ51" s="95">
        <v>38762.579351851855</v>
      </c>
    </row>
    <row r="52" spans="42:43" ht="14.25">
      <c r="AP52" s="1" t="s">
        <v>136</v>
      </c>
      <c r="AQ52" s="9" t="s">
        <v>232</v>
      </c>
    </row>
    <row r="53" spans="42:43" ht="14.25">
      <c r="AP53" s="1" t="s">
        <v>135</v>
      </c>
      <c r="AQ53" s="9" t="s">
        <v>233</v>
      </c>
    </row>
    <row r="54" ht="14.25">
      <c r="AP54" s="1" t="s">
        <v>141</v>
      </c>
    </row>
    <row r="55" ht="14.25">
      <c r="AP55" s="1" t="s">
        <v>142</v>
      </c>
    </row>
    <row r="56" ht="14.25">
      <c r="AP56" s="1" t="s">
        <v>143</v>
      </c>
    </row>
    <row r="57" spans="42:43" ht="14.25">
      <c r="AP57" s="1" t="s">
        <v>170</v>
      </c>
      <c r="AQ57" s="9" t="s">
        <v>235</v>
      </c>
    </row>
    <row r="58" ht="14.25">
      <c r="AP58" s="1" t="s">
        <v>203</v>
      </c>
    </row>
  </sheetData>
  <sheetProtection/>
  <mergeCells count="81">
    <mergeCell ref="B39:J39"/>
    <mergeCell ref="B28:J28"/>
    <mergeCell ref="L38:AB39"/>
    <mergeCell ref="L8:AB37"/>
    <mergeCell ref="B8:J16"/>
    <mergeCell ref="B18:J27"/>
    <mergeCell ref="B29:J38"/>
    <mergeCell ref="AE7:AN7"/>
    <mergeCell ref="AI11:AN11"/>
    <mergeCell ref="AI10:AN10"/>
    <mergeCell ref="AI17:AN17"/>
    <mergeCell ref="AE10:AH10"/>
    <mergeCell ref="AE8:AN8"/>
    <mergeCell ref="AE9:AH9"/>
    <mergeCell ref="AI9:AN9"/>
    <mergeCell ref="AE11:AH11"/>
    <mergeCell ref="AE12:AH12"/>
    <mergeCell ref="B2:J6"/>
    <mergeCell ref="L2:R6"/>
    <mergeCell ref="S2:S6"/>
    <mergeCell ref="AD5:AE6"/>
    <mergeCell ref="T2:AB6"/>
    <mergeCell ref="AD2:AI4"/>
    <mergeCell ref="AF5:AK6"/>
    <mergeCell ref="AJ2:AN4"/>
    <mergeCell ref="AL5:AN6"/>
    <mergeCell ref="C47:R47"/>
    <mergeCell ref="B43:S44"/>
    <mergeCell ref="AE44:AH44"/>
    <mergeCell ref="T47:AA47"/>
    <mergeCell ref="T45:AB45"/>
    <mergeCell ref="AE45:AH45"/>
    <mergeCell ref="T43:AB44"/>
    <mergeCell ref="AE47:AH47"/>
    <mergeCell ref="C45:E45"/>
    <mergeCell ref="F45:R45"/>
    <mergeCell ref="AI47:AN47"/>
    <mergeCell ref="AE23:AH23"/>
    <mergeCell ref="AJ45:AK45"/>
    <mergeCell ref="AI23:AN23"/>
    <mergeCell ref="AM44:AN44"/>
    <mergeCell ref="AM45:AN45"/>
    <mergeCell ref="AE43:AH43"/>
    <mergeCell ref="AJ44:AK44"/>
    <mergeCell ref="AI43:AK43"/>
    <mergeCell ref="AI39:AN39"/>
    <mergeCell ref="AD39:AH39"/>
    <mergeCell ref="AE24:AH24"/>
    <mergeCell ref="AI19:AN19"/>
    <mergeCell ref="AI18:AN18"/>
    <mergeCell ref="AI20:AN20"/>
    <mergeCell ref="AE20:AH20"/>
    <mergeCell ref="AD34:AD38"/>
    <mergeCell ref="AI24:AN24"/>
    <mergeCell ref="AD15:AD23"/>
    <mergeCell ref="AD26:AD33"/>
    <mergeCell ref="AD9:AD14"/>
    <mergeCell ref="AD24:AD25"/>
    <mergeCell ref="AE18:AH18"/>
    <mergeCell ref="AE19:AH19"/>
    <mergeCell ref="AE17:AH17"/>
    <mergeCell ref="AE21:AH21"/>
    <mergeCell ref="AE22:AH22"/>
    <mergeCell ref="AE14:AH14"/>
    <mergeCell ref="AR38:AS38"/>
    <mergeCell ref="AI21:AN21"/>
    <mergeCell ref="AR36:AS36"/>
    <mergeCell ref="AR31:AS31"/>
    <mergeCell ref="AR35:AS35"/>
    <mergeCell ref="AE25:AN25"/>
    <mergeCell ref="AE34:AN38"/>
    <mergeCell ref="AI22:AN22"/>
    <mergeCell ref="AE26:AN33"/>
    <mergeCell ref="AI12:AN12"/>
    <mergeCell ref="AE16:AH16"/>
    <mergeCell ref="AE15:AH15"/>
    <mergeCell ref="AE13:AH13"/>
    <mergeCell ref="AI13:AN13"/>
    <mergeCell ref="AI15:AN15"/>
    <mergeCell ref="AI16:AN16"/>
    <mergeCell ref="AI14:AN14"/>
  </mergeCells>
  <printOptions horizontalCentered="1"/>
  <pageMargins left="0.31496062992125984" right="0.2755905511811024" top="0.35433070866141736" bottom="0.2362204724409449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8"/>
  <sheetViews>
    <sheetView view="pageBreakPreview" zoomScaleNormal="50" zoomScaleSheetLayoutView="100" zoomScalePageLayoutView="0" workbookViewId="0" topLeftCell="R1">
      <selection activeCell="AZ16" sqref="AZ16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1.875" style="1" customWidth="1"/>
    <col min="42" max="42" width="8.50390625" style="1" hidden="1" customWidth="1"/>
    <col min="43" max="43" width="11.625" style="9" hidden="1" customWidth="1"/>
    <col min="44" max="44" width="11.00390625" style="1" hidden="1" customWidth="1"/>
    <col min="45" max="45" width="11.375" style="1" hidden="1" customWidth="1"/>
    <col min="46" max="50" width="6.50390625" style="1" hidden="1" customWidth="1"/>
    <col min="51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2" ht="14.25" customHeight="1">
      <c r="A2" s="20"/>
      <c r="B2" s="153">
        <f>IF($AQ$23&lt;&gt;"",$AR$22&amp;"賃貸"&amp;$AQ$23,"")</f>
      </c>
      <c r="C2" s="154"/>
      <c r="D2" s="154"/>
      <c r="E2" s="154"/>
      <c r="F2" s="154"/>
      <c r="G2" s="154"/>
      <c r="H2" s="154"/>
      <c r="I2" s="154"/>
      <c r="J2" s="154"/>
      <c r="K2" s="21"/>
      <c r="L2" s="154" t="str">
        <f>IF($AI$10="-",AI9,AI10)</f>
        <v>-</v>
      </c>
      <c r="M2" s="154"/>
      <c r="N2" s="154"/>
      <c r="O2" s="154"/>
      <c r="P2" s="154"/>
      <c r="Q2" s="154"/>
      <c r="R2" s="159"/>
      <c r="S2" s="162" t="s">
        <v>62</v>
      </c>
      <c r="T2" s="153" t="str">
        <f>TEXT(N($AQ$10),"#,###,###円;;-")</f>
        <v>-</v>
      </c>
      <c r="U2" s="200"/>
      <c r="V2" s="200"/>
      <c r="W2" s="200"/>
      <c r="X2" s="200"/>
      <c r="Y2" s="200"/>
      <c r="Z2" s="200"/>
      <c r="AA2" s="200"/>
      <c r="AB2" s="201"/>
      <c r="AC2" s="21"/>
      <c r="AD2" s="178">
        <f>$AQ$25&amp;""</f>
      </c>
      <c r="AE2" s="179"/>
      <c r="AF2" s="179"/>
      <c r="AG2" s="179"/>
      <c r="AH2" s="179"/>
      <c r="AI2" s="179"/>
      <c r="AJ2" s="184">
        <f>$AQ$26&amp;""</f>
      </c>
      <c r="AK2" s="184"/>
      <c r="AL2" s="184"/>
      <c r="AM2" s="184"/>
      <c r="AN2" s="185"/>
      <c r="AO2" s="22"/>
      <c r="AP2" s="1" t="s">
        <v>78</v>
      </c>
    </row>
    <row r="3" spans="1:42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56"/>
      <c r="K3" s="21"/>
      <c r="L3" s="156"/>
      <c r="M3" s="156"/>
      <c r="N3" s="156"/>
      <c r="O3" s="156"/>
      <c r="P3" s="156"/>
      <c r="Q3" s="156"/>
      <c r="R3" s="160"/>
      <c r="S3" s="163"/>
      <c r="T3" s="202"/>
      <c r="U3" s="182"/>
      <c r="V3" s="182"/>
      <c r="W3" s="182"/>
      <c r="X3" s="182"/>
      <c r="Y3" s="182"/>
      <c r="Z3" s="182"/>
      <c r="AA3" s="182"/>
      <c r="AB3" s="203"/>
      <c r="AC3" s="21"/>
      <c r="AD3" s="180"/>
      <c r="AE3" s="181"/>
      <c r="AF3" s="181"/>
      <c r="AG3" s="181"/>
      <c r="AH3" s="181"/>
      <c r="AI3" s="181"/>
      <c r="AJ3" s="186"/>
      <c r="AK3" s="186"/>
      <c r="AL3" s="186"/>
      <c r="AM3" s="186"/>
      <c r="AN3" s="187"/>
      <c r="AO3" s="22"/>
      <c r="AP3" s="1" t="s">
        <v>79</v>
      </c>
    </row>
    <row r="4" spans="1:42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56"/>
      <c r="K4" s="21"/>
      <c r="L4" s="156"/>
      <c r="M4" s="156"/>
      <c r="N4" s="156"/>
      <c r="O4" s="156"/>
      <c r="P4" s="156"/>
      <c r="Q4" s="156"/>
      <c r="R4" s="160"/>
      <c r="S4" s="163"/>
      <c r="T4" s="202"/>
      <c r="U4" s="182"/>
      <c r="V4" s="182"/>
      <c r="W4" s="182"/>
      <c r="X4" s="182"/>
      <c r="Y4" s="182"/>
      <c r="Z4" s="182"/>
      <c r="AA4" s="182"/>
      <c r="AB4" s="203"/>
      <c r="AC4" s="21"/>
      <c r="AD4" s="180"/>
      <c r="AE4" s="181"/>
      <c r="AF4" s="181"/>
      <c r="AG4" s="181"/>
      <c r="AH4" s="181"/>
      <c r="AI4" s="181"/>
      <c r="AJ4" s="186"/>
      <c r="AK4" s="186"/>
      <c r="AL4" s="186"/>
      <c r="AM4" s="186"/>
      <c r="AN4" s="187"/>
      <c r="AO4" s="22"/>
      <c r="AP4" s="1" t="s">
        <v>80</v>
      </c>
    </row>
    <row r="5" spans="1:42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56"/>
      <c r="K5" s="21"/>
      <c r="L5" s="156"/>
      <c r="M5" s="156"/>
      <c r="N5" s="156"/>
      <c r="O5" s="156"/>
      <c r="P5" s="156"/>
      <c r="Q5" s="156"/>
      <c r="R5" s="160"/>
      <c r="S5" s="163"/>
      <c r="T5" s="202"/>
      <c r="U5" s="182"/>
      <c r="V5" s="182"/>
      <c r="W5" s="182"/>
      <c r="X5" s="182"/>
      <c r="Y5" s="182"/>
      <c r="Z5" s="182"/>
      <c r="AA5" s="182"/>
      <c r="AB5" s="203"/>
      <c r="AC5" s="21"/>
      <c r="AD5" s="165">
        <f>TEXT(N($AQ$2),"バス#分;;")</f>
      </c>
      <c r="AE5" s="166"/>
      <c r="AF5" s="166">
        <f>IF($AQ$3&lt;&gt;"",$AQ$3&amp;"下車","")</f>
      </c>
      <c r="AG5" s="182"/>
      <c r="AH5" s="182"/>
      <c r="AI5" s="182"/>
      <c r="AJ5" s="182"/>
      <c r="AK5" s="182"/>
      <c r="AL5" s="166">
        <f>TEXT(ROUNDUP(N($AQ$4)/80,0),"徒歩#分;;")</f>
      </c>
      <c r="AM5" s="166"/>
      <c r="AN5" s="188"/>
      <c r="AO5" s="22"/>
      <c r="AP5" s="1" t="s">
        <v>82</v>
      </c>
    </row>
    <row r="6" spans="1:42" ht="11.25" customHeight="1">
      <c r="A6" s="20"/>
      <c r="B6" s="157"/>
      <c r="C6" s="158"/>
      <c r="D6" s="158"/>
      <c r="E6" s="158"/>
      <c r="F6" s="158"/>
      <c r="G6" s="158"/>
      <c r="H6" s="158"/>
      <c r="I6" s="158"/>
      <c r="J6" s="158"/>
      <c r="K6" s="21"/>
      <c r="L6" s="158"/>
      <c r="M6" s="158"/>
      <c r="N6" s="158"/>
      <c r="O6" s="158"/>
      <c r="P6" s="158"/>
      <c r="Q6" s="158"/>
      <c r="R6" s="161"/>
      <c r="S6" s="164"/>
      <c r="T6" s="204"/>
      <c r="U6" s="183"/>
      <c r="V6" s="183"/>
      <c r="W6" s="183"/>
      <c r="X6" s="183"/>
      <c r="Y6" s="183"/>
      <c r="Z6" s="183"/>
      <c r="AA6" s="183"/>
      <c r="AB6" s="205"/>
      <c r="AC6" s="21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P6" s="1" t="s">
        <v>81</v>
      </c>
    </row>
    <row r="7" spans="1:56" s="3" customFormat="1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3"/>
      <c r="N7" s="23"/>
      <c r="O7" s="23"/>
      <c r="P7" s="23"/>
      <c r="Q7" s="23"/>
      <c r="R7" s="2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4" t="s">
        <v>1</v>
      </c>
      <c r="AE7" s="190">
        <f>$AQ$27&amp;""</f>
      </c>
      <c r="AF7" s="191"/>
      <c r="AG7" s="191"/>
      <c r="AH7" s="191"/>
      <c r="AI7" s="191"/>
      <c r="AJ7" s="191"/>
      <c r="AK7" s="191"/>
      <c r="AL7" s="191"/>
      <c r="AM7" s="191"/>
      <c r="AN7" s="192"/>
      <c r="AO7" s="22"/>
      <c r="AP7" s="1" t="s">
        <v>83</v>
      </c>
      <c r="AQ7" s="9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" customFormat="1" ht="25.5" customHeight="1">
      <c r="A8" s="25"/>
      <c r="B8" s="198">
        <f>$AQ$42&amp;""</f>
      </c>
      <c r="C8" s="198"/>
      <c r="D8" s="198"/>
      <c r="E8" s="198"/>
      <c r="F8" s="198"/>
      <c r="G8" s="198"/>
      <c r="H8" s="198"/>
      <c r="I8" s="198"/>
      <c r="J8" s="198"/>
      <c r="K8" s="2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0"/>
      <c r="AD8" s="28" t="s">
        <v>14</v>
      </c>
      <c r="AE8" s="193">
        <f>IF($AQ$5&lt;&gt;"",$AQ$5&amp;IF($AQ$6&lt;&gt;""," ("&amp;$AQ$6&amp;")",""),"")</f>
      </c>
      <c r="AF8" s="194"/>
      <c r="AG8" s="194"/>
      <c r="AH8" s="194"/>
      <c r="AI8" s="194"/>
      <c r="AJ8" s="194"/>
      <c r="AK8" s="100"/>
      <c r="AL8" s="100"/>
      <c r="AM8" s="100"/>
      <c r="AN8" s="101"/>
      <c r="AO8" s="22"/>
      <c r="AP8" s="1" t="s">
        <v>84</v>
      </c>
      <c r="AQ8" s="9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42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2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0"/>
      <c r="AD9" s="120" t="s">
        <v>17</v>
      </c>
      <c r="AE9" s="97" t="s">
        <v>37</v>
      </c>
      <c r="AF9" s="98"/>
      <c r="AG9" s="98"/>
      <c r="AH9" s="99"/>
      <c r="AI9" s="97" t="str">
        <f>TEXT(N($AQ$7),"#,##0.0#㎡;;-")</f>
        <v>-</v>
      </c>
      <c r="AJ9" s="98"/>
      <c r="AK9" s="98"/>
      <c r="AL9" s="98"/>
      <c r="AM9" s="98"/>
      <c r="AN9" s="99"/>
      <c r="AO9" s="22"/>
      <c r="AP9" s="1" t="s">
        <v>85</v>
      </c>
    </row>
    <row r="10" spans="1:42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2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0"/>
      <c r="AD10" s="121"/>
      <c r="AE10" s="97" t="s">
        <v>181</v>
      </c>
      <c r="AF10" s="98"/>
      <c r="AG10" s="98"/>
      <c r="AH10" s="99"/>
      <c r="AI10" s="97" t="str">
        <f>IF($AQ$24&lt;&gt;"",$AQ$24&amp;"","-")</f>
        <v>-</v>
      </c>
      <c r="AJ10" s="98"/>
      <c r="AK10" s="98"/>
      <c r="AL10" s="98"/>
      <c r="AM10" s="98"/>
      <c r="AN10" s="99"/>
      <c r="AO10" s="22"/>
      <c r="AP10" s="1" t="s">
        <v>62</v>
      </c>
    </row>
    <row r="11" spans="1:42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2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0"/>
      <c r="AD11" s="121"/>
      <c r="AE11" s="97" t="s">
        <v>15</v>
      </c>
      <c r="AF11" s="100"/>
      <c r="AG11" s="100"/>
      <c r="AH11" s="101"/>
      <c r="AI11" s="97" t="str">
        <f>IF($AQ$28&lt;&gt;"",$AQ$28&amp;"","-")</f>
        <v>-</v>
      </c>
      <c r="AJ11" s="98"/>
      <c r="AK11" s="98"/>
      <c r="AL11" s="98"/>
      <c r="AM11" s="98"/>
      <c r="AN11" s="99"/>
      <c r="AO11" s="22"/>
      <c r="AP11" s="1" t="s">
        <v>86</v>
      </c>
    </row>
    <row r="12" spans="1:46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2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0"/>
      <c r="AD12" s="121"/>
      <c r="AE12" s="97" t="s">
        <v>182</v>
      </c>
      <c r="AF12" s="100"/>
      <c r="AG12" s="100"/>
      <c r="AH12" s="101"/>
      <c r="AI12" s="97" t="str">
        <f>TEXT(N($AQ$8),"#階;;-")&amp;"/"&amp;TEXT(N($AQ$9),"#階建;;-")</f>
        <v>-/-</v>
      </c>
      <c r="AJ12" s="98"/>
      <c r="AK12" s="98"/>
      <c r="AL12" s="98"/>
      <c r="AM12" s="98"/>
      <c r="AN12" s="99"/>
      <c r="AO12" s="22"/>
      <c r="AP12" s="1" t="s">
        <v>87</v>
      </c>
      <c r="AR12" s="16" t="str">
        <f>IF(N(AQ12)=0,"-",IF(N(AQ12)&lt;100,AQ12&amp;"ヶ月",TEXT(N(AQ12),"#,###,###円")))</f>
        <v>-</v>
      </c>
      <c r="AS12" s="16" t="str">
        <f>IF(N(AQ12)=0,"-",IF(N(AQ12)&lt;100,N(AQ12)*N(AQ10),N(AQ12)))</f>
        <v>-</v>
      </c>
      <c r="AT12" s="7"/>
    </row>
    <row r="13" spans="1:46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2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0"/>
      <c r="AD13" s="121"/>
      <c r="AE13" s="97" t="s">
        <v>38</v>
      </c>
      <c r="AF13" s="100"/>
      <c r="AG13" s="100"/>
      <c r="AH13" s="101"/>
      <c r="AI13" s="97" t="str">
        <f>IF($AQ$29&lt;&gt;"",$AQ$29&amp;"","-")</f>
        <v>-</v>
      </c>
      <c r="AJ13" s="98"/>
      <c r="AK13" s="98"/>
      <c r="AL13" s="98"/>
      <c r="AM13" s="98"/>
      <c r="AN13" s="99"/>
      <c r="AO13" s="22"/>
      <c r="AP13" s="1" t="s">
        <v>88</v>
      </c>
      <c r="AR13" s="16" t="str">
        <f>IF(N(AQ13)=0,"-",IF(N(AQ13)&lt;100,AQ13&amp;"ヶ月",TEXT(N(AQ13),"#,###,###円")))</f>
        <v>-</v>
      </c>
      <c r="AS13" s="16" t="str">
        <f>IF(N(AQ13)=0,"-",IF(N(AQ13)&lt;100,N(AQ13)*N(AQ10),N(AQ13)))</f>
        <v>-</v>
      </c>
      <c r="AT13" s="7"/>
    </row>
    <row r="14" spans="1:46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2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0"/>
      <c r="AD14" s="122"/>
      <c r="AE14" s="97" t="s">
        <v>192</v>
      </c>
      <c r="AF14" s="100"/>
      <c r="AG14" s="100"/>
      <c r="AH14" s="101"/>
      <c r="AI14" s="97" t="str">
        <f>IF(AQ30&lt;&gt;"",AQ30&amp;"","-")</f>
        <v>-</v>
      </c>
      <c r="AJ14" s="98"/>
      <c r="AK14" s="98"/>
      <c r="AL14" s="98"/>
      <c r="AM14" s="98"/>
      <c r="AN14" s="99"/>
      <c r="AO14" s="22"/>
      <c r="AP14" s="1" t="s">
        <v>89</v>
      </c>
      <c r="AR14" s="16" t="str">
        <f>IF(N(AQ14)=0,"-",IF(N(AQ14)&lt;100,AQ14&amp;"ヶ月",TEXT(N(AQ14),"#,###,###円")))</f>
        <v>-</v>
      </c>
      <c r="AS14" s="16" t="str">
        <f>IF(N(AQ14)=0,"-",IF(N(AQ14)&lt;100,N(AQ14)*N(AQ10),N(AQ14)))</f>
        <v>-</v>
      </c>
      <c r="AT14" s="7"/>
    </row>
    <row r="15" spans="1:46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2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0"/>
      <c r="AD15" s="120" t="s">
        <v>39</v>
      </c>
      <c r="AE15" s="97" t="s">
        <v>177</v>
      </c>
      <c r="AF15" s="100"/>
      <c r="AG15" s="100"/>
      <c r="AH15" s="101"/>
      <c r="AI15" s="102" t="str">
        <f>TEXT(N($AQ$11),"#,###,###円;;-")</f>
        <v>-</v>
      </c>
      <c r="AJ15" s="103"/>
      <c r="AK15" s="103"/>
      <c r="AL15" s="103"/>
      <c r="AM15" s="103"/>
      <c r="AN15" s="104"/>
      <c r="AO15" s="22"/>
      <c r="AP15" s="1" t="s">
        <v>90</v>
      </c>
      <c r="AR15" s="16" t="str">
        <f>IF(N(AQ15)=0,"-",IF(N(AQ15)&lt;100,AQ15&amp;"ヶ月",TEXT(N(AQ15),"#,###,###円")))</f>
        <v>-</v>
      </c>
      <c r="AS15" s="16" t="str">
        <f>IF(N(AQ15)=0,"-",IF(N(AQ15)&lt;100,N(AQ15)*N(AQ10),N(AQ15)))</f>
        <v>-</v>
      </c>
      <c r="AT15" s="7"/>
    </row>
    <row r="16" spans="1:46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2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0"/>
      <c r="AD16" s="130"/>
      <c r="AE16" s="97" t="s">
        <v>185</v>
      </c>
      <c r="AF16" s="100"/>
      <c r="AG16" s="100"/>
      <c r="AH16" s="101"/>
      <c r="AI16" s="102" t="str">
        <f>IF(AND(N(AQ12)&lt;&gt;0,N(AQ13)&lt;&gt;0),TEXT(N(AS12)+N(AS13),"#,###,###円;;"),IF(N(AQ12)&lt;&gt;0,AR12,IF(N(AQ13)&lt;&gt;0,AR13,"-")))&amp;""</f>
        <v>-</v>
      </c>
      <c r="AJ16" s="103"/>
      <c r="AK16" s="103"/>
      <c r="AL16" s="103"/>
      <c r="AM16" s="103"/>
      <c r="AN16" s="104"/>
      <c r="AO16" s="22"/>
      <c r="AP16" s="1" t="s">
        <v>91</v>
      </c>
      <c r="AR16" s="16" t="str">
        <f>IF(N(AQ16)=0,"-",IF(N(AQ16)&lt;100,AQ16&amp;"ヶ月",IF(N(AQ16)=100,"実費",IF(N(AQ16)&lt;=200,TEXT(N(AQ16)-100,"#""%"""),TEXT(N(AQ16),"#,###,###円")))))</f>
        <v>-</v>
      </c>
      <c r="AS16" s="16"/>
      <c r="AT16" s="7"/>
    </row>
    <row r="17" spans="1:46" ht="15.7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0"/>
      <c r="AD17" s="130"/>
      <c r="AE17" s="97" t="s">
        <v>186</v>
      </c>
      <c r="AF17" s="100"/>
      <c r="AG17" s="100"/>
      <c r="AH17" s="101"/>
      <c r="AI17" s="102" t="str">
        <f>IF(AND(N(AQ14)&lt;&gt;0,N(AQ15)&lt;&gt;0),TEXT(N(AS14)+N(AS15),"#,###,###円;;"),IF(N(AQ14)&lt;&gt;0,AR14,IF(N(AQ15)&lt;&gt;0,AR15,"-")))&amp;""</f>
        <v>-</v>
      </c>
      <c r="AJ17" s="103"/>
      <c r="AK17" s="103"/>
      <c r="AL17" s="103"/>
      <c r="AM17" s="103"/>
      <c r="AN17" s="104"/>
      <c r="AO17" s="22"/>
      <c r="AP17" s="1" t="s">
        <v>92</v>
      </c>
      <c r="AR17" s="16" t="str">
        <f>IF(N(AQ17)=0,"-",IF(N(AQ17)&lt;99,AQ17&amp;"ヶ月",IF(AQ17=99,"相談",TEXT(N(AQ17),"#,###,###円"))))</f>
        <v>-</v>
      </c>
      <c r="AS17" s="16"/>
      <c r="AT17" s="7"/>
    </row>
    <row r="18" spans="1:44" ht="15.75" customHeight="1">
      <c r="A18" s="20"/>
      <c r="B18" s="199"/>
      <c r="C18" s="199"/>
      <c r="D18" s="199"/>
      <c r="E18" s="199"/>
      <c r="F18" s="199"/>
      <c r="G18" s="199"/>
      <c r="H18" s="199"/>
      <c r="I18" s="199"/>
      <c r="J18" s="199"/>
      <c r="K18" s="33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0"/>
      <c r="AD18" s="130"/>
      <c r="AE18" s="97" t="s">
        <v>205</v>
      </c>
      <c r="AF18" s="100"/>
      <c r="AG18" s="100"/>
      <c r="AH18" s="101"/>
      <c r="AI18" s="102" t="str">
        <f>AR16&amp;IF(AND(N(AQ16)&lt;&gt;0,AQ31&lt;&gt;"")," ("&amp;AQ31&amp;")","")</f>
        <v>-</v>
      </c>
      <c r="AJ18" s="103"/>
      <c r="AK18" s="103"/>
      <c r="AL18" s="103"/>
      <c r="AM18" s="103"/>
      <c r="AN18" s="104"/>
      <c r="AO18" s="22"/>
      <c r="AP18" s="1" t="s">
        <v>93</v>
      </c>
      <c r="AR18" s="16"/>
    </row>
    <row r="19" spans="1:44" ht="15.75" customHeight="1">
      <c r="A19" s="20"/>
      <c r="B19" s="199"/>
      <c r="C19" s="199"/>
      <c r="D19" s="199"/>
      <c r="E19" s="199"/>
      <c r="F19" s="199"/>
      <c r="G19" s="199"/>
      <c r="H19" s="199"/>
      <c r="I19" s="199"/>
      <c r="J19" s="199"/>
      <c r="K19" s="33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0"/>
      <c r="AD19" s="130"/>
      <c r="AE19" s="97" t="s">
        <v>40</v>
      </c>
      <c r="AF19" s="100"/>
      <c r="AG19" s="100"/>
      <c r="AH19" s="101"/>
      <c r="AI19" s="97" t="str">
        <f>AR17&amp;""</f>
        <v>-</v>
      </c>
      <c r="AJ19" s="98"/>
      <c r="AK19" s="98"/>
      <c r="AL19" s="98"/>
      <c r="AM19" s="98"/>
      <c r="AN19" s="99"/>
      <c r="AO19" s="22"/>
      <c r="AP19" s="1" t="s">
        <v>94</v>
      </c>
      <c r="AR19" s="16"/>
    </row>
    <row r="20" spans="1:42" ht="15.75" customHeight="1">
      <c r="A20" s="20"/>
      <c r="B20" s="199"/>
      <c r="C20" s="199"/>
      <c r="D20" s="199"/>
      <c r="E20" s="199"/>
      <c r="F20" s="199"/>
      <c r="G20" s="199"/>
      <c r="H20" s="199"/>
      <c r="I20" s="199"/>
      <c r="J20" s="199"/>
      <c r="K20" s="33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0"/>
      <c r="AD20" s="130"/>
      <c r="AE20" s="97" t="s">
        <v>206</v>
      </c>
      <c r="AF20" s="100"/>
      <c r="AG20" s="100"/>
      <c r="AH20" s="101"/>
      <c r="AI20" s="102" t="str">
        <f>TEXT(N(AQ18),"#,###,###円;;-")&amp;IF(AND(N(AQ18)&lt;&gt;0,N($AQ$32)&lt;&gt;0),"/"&amp;$AQ$32&amp;"年","")</f>
        <v>-</v>
      </c>
      <c r="AJ20" s="103"/>
      <c r="AK20" s="103"/>
      <c r="AL20" s="103"/>
      <c r="AM20" s="103"/>
      <c r="AN20" s="104"/>
      <c r="AO20" s="22"/>
      <c r="AP20" s="1" t="s">
        <v>95</v>
      </c>
    </row>
    <row r="21" spans="1:42" ht="15.75" customHeight="1">
      <c r="A21" s="20"/>
      <c r="B21" s="199"/>
      <c r="C21" s="199"/>
      <c r="D21" s="199"/>
      <c r="E21" s="199"/>
      <c r="F21" s="199"/>
      <c r="G21" s="199"/>
      <c r="H21" s="199"/>
      <c r="I21" s="199"/>
      <c r="J21" s="199"/>
      <c r="K21" s="33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0"/>
      <c r="AD21" s="130"/>
      <c r="AE21" s="97" t="s">
        <v>41</v>
      </c>
      <c r="AF21" s="100"/>
      <c r="AG21" s="100"/>
      <c r="AH21" s="101"/>
      <c r="AI21" s="102" t="str">
        <f>IF($AQ$33&lt;&gt;"",AQ33&amp;"","-")</f>
        <v>-</v>
      </c>
      <c r="AJ21" s="98"/>
      <c r="AK21" s="98"/>
      <c r="AL21" s="98"/>
      <c r="AM21" s="98"/>
      <c r="AN21" s="99"/>
      <c r="AO21" s="22"/>
      <c r="AP21" s="1" t="s">
        <v>96</v>
      </c>
    </row>
    <row r="22" spans="1:44" ht="15.75" customHeight="1">
      <c r="A22" s="20"/>
      <c r="B22" s="199"/>
      <c r="C22" s="199"/>
      <c r="D22" s="199"/>
      <c r="E22" s="199"/>
      <c r="F22" s="199"/>
      <c r="G22" s="199"/>
      <c r="H22" s="199"/>
      <c r="I22" s="199"/>
      <c r="J22" s="199"/>
      <c r="K22" s="33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0"/>
      <c r="AD22" s="130"/>
      <c r="AE22" s="97" t="s">
        <v>193</v>
      </c>
      <c r="AF22" s="100"/>
      <c r="AG22" s="100"/>
      <c r="AH22" s="101"/>
      <c r="AI22" s="97" t="str">
        <f>IF($AQ$34&lt;&gt;"",$AQ$34&amp;"","普通賃貸借")&amp;IF($AQ$34="定期借家権","(更新不可)","")</f>
        <v>普通賃貸借</v>
      </c>
      <c r="AJ22" s="98"/>
      <c r="AK22" s="98"/>
      <c r="AL22" s="98"/>
      <c r="AM22" s="98"/>
      <c r="AN22" s="99"/>
      <c r="AO22" s="22"/>
      <c r="AP22" s="1" t="s">
        <v>122</v>
      </c>
      <c r="AR22" s="1">
        <f>IF(AQ22="新築",AQ22,"")</f>
      </c>
    </row>
    <row r="23" spans="1:45" ht="15.75" customHeight="1">
      <c r="A23" s="20"/>
      <c r="B23" s="199"/>
      <c r="C23" s="199"/>
      <c r="D23" s="199"/>
      <c r="E23" s="199"/>
      <c r="F23" s="199"/>
      <c r="G23" s="199"/>
      <c r="H23" s="199"/>
      <c r="I23" s="199"/>
      <c r="J23" s="199"/>
      <c r="K23" s="33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0"/>
      <c r="AD23" s="130"/>
      <c r="AE23" s="97" t="s">
        <v>184</v>
      </c>
      <c r="AF23" s="100"/>
      <c r="AG23" s="100"/>
      <c r="AH23" s="101"/>
      <c r="AI23" s="97" t="str">
        <f>IF($AQ$36&lt;&gt;"",$AQ$36&amp;"","-")&amp;"/"&amp;IF($AQ$35&lt;&gt;"",$AQ$35&amp;"","-")</f>
        <v>-/-</v>
      </c>
      <c r="AJ23" s="98"/>
      <c r="AK23" s="98"/>
      <c r="AL23" s="98"/>
      <c r="AM23" s="98"/>
      <c r="AN23" s="99"/>
      <c r="AO23" s="22"/>
      <c r="AP23" s="2" t="s">
        <v>97</v>
      </c>
      <c r="AS23" s="2"/>
    </row>
    <row r="24" spans="1:45" ht="15.75" customHeight="1">
      <c r="A24" s="20"/>
      <c r="B24" s="199"/>
      <c r="C24" s="199"/>
      <c r="D24" s="199"/>
      <c r="E24" s="199"/>
      <c r="F24" s="199"/>
      <c r="G24" s="199"/>
      <c r="H24" s="199"/>
      <c r="I24" s="199"/>
      <c r="J24" s="199"/>
      <c r="K24" s="33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0"/>
      <c r="AD24" s="123" t="s">
        <v>64</v>
      </c>
      <c r="AE24" s="128">
        <f>$AQ$37&amp;IF(AND(AQ37&lt;&gt;"",N(AQ58)&lt;&gt;0),TEXT(AQ58," (#台)"),"")</f>
      </c>
      <c r="AF24" s="129"/>
      <c r="AG24" s="129"/>
      <c r="AH24" s="129"/>
      <c r="AI24" s="129">
        <f>TEXT(N($AQ$19),"#,###,###円""/""月;;")</f>
      </c>
      <c r="AJ24" s="129"/>
      <c r="AK24" s="129"/>
      <c r="AL24" s="129">
        <f>IF($AQ$38&lt;&gt;"","(距離："&amp;$AQ$38&amp;")","")</f>
      </c>
      <c r="AM24" s="129"/>
      <c r="AN24" s="143"/>
      <c r="AO24" s="22"/>
      <c r="AP24" s="2" t="s">
        <v>98</v>
      </c>
      <c r="AR24" s="2"/>
      <c r="AS24" s="2"/>
    </row>
    <row r="25" spans="1:45" ht="15.75" customHeight="1">
      <c r="A25" s="20"/>
      <c r="B25" s="199"/>
      <c r="C25" s="199"/>
      <c r="D25" s="199"/>
      <c r="E25" s="199"/>
      <c r="F25" s="199"/>
      <c r="G25" s="199"/>
      <c r="H25" s="199"/>
      <c r="I25" s="199"/>
      <c r="J25" s="199"/>
      <c r="K25" s="33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0"/>
      <c r="AD25" s="124"/>
      <c r="AE25" s="97">
        <f>$AQ$41&amp;""</f>
      </c>
      <c r="AF25" s="98"/>
      <c r="AG25" s="98"/>
      <c r="AH25" s="98"/>
      <c r="AI25" s="98"/>
      <c r="AJ25" s="98"/>
      <c r="AK25" s="98"/>
      <c r="AL25" s="98"/>
      <c r="AM25" s="98"/>
      <c r="AN25" s="99"/>
      <c r="AO25" s="22"/>
      <c r="AP25" s="2" t="s">
        <v>99</v>
      </c>
      <c r="AR25" s="2"/>
      <c r="AS25" s="2"/>
    </row>
    <row r="26" spans="1:45" ht="15.75" customHeight="1">
      <c r="A26" s="20"/>
      <c r="B26" s="199"/>
      <c r="C26" s="199"/>
      <c r="D26" s="199"/>
      <c r="E26" s="199"/>
      <c r="F26" s="199"/>
      <c r="G26" s="199"/>
      <c r="H26" s="199"/>
      <c r="I26" s="199"/>
      <c r="J26" s="199"/>
      <c r="K26" s="33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0"/>
      <c r="AD26" s="120" t="s">
        <v>12</v>
      </c>
      <c r="AE26" s="117">
        <f>IF($AQ$57&lt;&gt;"",$AQ$57&amp;CHAR(10),"")&amp;$AQ$39</f>
      </c>
      <c r="AF26" s="117"/>
      <c r="AG26" s="117"/>
      <c r="AH26" s="117"/>
      <c r="AI26" s="117"/>
      <c r="AJ26" s="117"/>
      <c r="AK26" s="117"/>
      <c r="AL26" s="117"/>
      <c r="AM26" s="117"/>
      <c r="AN26" s="117"/>
      <c r="AO26" s="22"/>
      <c r="AP26" s="2" t="s">
        <v>100</v>
      </c>
      <c r="AR26" s="2"/>
      <c r="AS26" s="2"/>
    </row>
    <row r="27" spans="1:45" ht="15.75" customHeight="1">
      <c r="A27" s="20"/>
      <c r="B27" s="199"/>
      <c r="C27" s="199"/>
      <c r="D27" s="199"/>
      <c r="E27" s="199"/>
      <c r="F27" s="199"/>
      <c r="G27" s="199"/>
      <c r="H27" s="199"/>
      <c r="I27" s="199"/>
      <c r="J27" s="199"/>
      <c r="K27" s="33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0"/>
      <c r="AD27" s="121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22"/>
      <c r="AP27" s="2" t="s">
        <v>101</v>
      </c>
      <c r="AR27" s="2"/>
      <c r="AS27" s="2"/>
    </row>
    <row r="28" spans="1:45" ht="15.75" customHeight="1">
      <c r="A28" s="20"/>
      <c r="B28" s="195">
        <f>$AQ$55&amp;""</f>
      </c>
      <c r="C28" s="195"/>
      <c r="D28" s="195"/>
      <c r="E28" s="195"/>
      <c r="F28" s="195"/>
      <c r="G28" s="195"/>
      <c r="H28" s="195"/>
      <c r="I28" s="195"/>
      <c r="J28" s="195"/>
      <c r="K28" s="35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0"/>
      <c r="AD28" s="121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22"/>
      <c r="AP28" s="2" t="s">
        <v>102</v>
      </c>
      <c r="AR28" s="2"/>
      <c r="AS28" s="2"/>
    </row>
    <row r="29" spans="1:45" ht="15.75" customHeight="1">
      <c r="A29" s="20"/>
      <c r="B29" s="199"/>
      <c r="C29" s="199"/>
      <c r="D29" s="199"/>
      <c r="E29" s="199"/>
      <c r="F29" s="199"/>
      <c r="G29" s="199"/>
      <c r="H29" s="199"/>
      <c r="I29" s="199"/>
      <c r="J29" s="199"/>
      <c r="K29" s="33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0"/>
      <c r="AD29" s="121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22"/>
      <c r="AP29" s="2" t="s">
        <v>103</v>
      </c>
      <c r="AR29" s="2"/>
      <c r="AS29" s="2"/>
    </row>
    <row r="30" spans="1:45" ht="15.75" customHeight="1">
      <c r="A30" s="20"/>
      <c r="B30" s="199"/>
      <c r="C30" s="199"/>
      <c r="D30" s="199"/>
      <c r="E30" s="199"/>
      <c r="F30" s="199"/>
      <c r="G30" s="199"/>
      <c r="H30" s="199"/>
      <c r="I30" s="199"/>
      <c r="J30" s="199"/>
      <c r="K30" s="33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0"/>
      <c r="AD30" s="121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22"/>
      <c r="AP30" s="2" t="s">
        <v>104</v>
      </c>
      <c r="AQ30" s="11"/>
      <c r="AR30" s="2"/>
      <c r="AS30" s="2"/>
    </row>
    <row r="31" spans="1:45" ht="15.75" customHeight="1">
      <c r="A31" s="20"/>
      <c r="B31" s="199"/>
      <c r="C31" s="199"/>
      <c r="D31" s="199"/>
      <c r="E31" s="199"/>
      <c r="F31" s="199"/>
      <c r="G31" s="199"/>
      <c r="H31" s="199"/>
      <c r="I31" s="199"/>
      <c r="J31" s="199"/>
      <c r="K31" s="33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0"/>
      <c r="AD31" s="121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22"/>
      <c r="AP31" s="2" t="s">
        <v>105</v>
      </c>
      <c r="AR31" s="107"/>
      <c r="AS31" s="107"/>
    </row>
    <row r="32" spans="1:45" ht="15.75" customHeight="1">
      <c r="A32" s="20"/>
      <c r="B32" s="199"/>
      <c r="C32" s="199"/>
      <c r="D32" s="199"/>
      <c r="E32" s="199"/>
      <c r="F32" s="199"/>
      <c r="G32" s="199"/>
      <c r="H32" s="199"/>
      <c r="I32" s="199"/>
      <c r="J32" s="199"/>
      <c r="K32" s="33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0"/>
      <c r="AD32" s="121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22"/>
      <c r="AP32" s="2" t="s">
        <v>106</v>
      </c>
      <c r="AR32" s="2"/>
      <c r="AS32" s="2"/>
    </row>
    <row r="33" spans="1:45" ht="15.75" customHeight="1">
      <c r="A33" s="20"/>
      <c r="B33" s="199"/>
      <c r="C33" s="199"/>
      <c r="D33" s="199"/>
      <c r="E33" s="199"/>
      <c r="F33" s="199"/>
      <c r="G33" s="199"/>
      <c r="H33" s="199"/>
      <c r="I33" s="199"/>
      <c r="J33" s="199"/>
      <c r="K33" s="33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0"/>
      <c r="AD33" s="122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22"/>
      <c r="AP33" s="2" t="s">
        <v>107</v>
      </c>
      <c r="AR33" s="2"/>
      <c r="AS33" s="2"/>
    </row>
    <row r="34" spans="1:45" ht="15.75" customHeight="1">
      <c r="A34" s="20"/>
      <c r="B34" s="199"/>
      <c r="C34" s="199"/>
      <c r="D34" s="199"/>
      <c r="E34" s="199"/>
      <c r="F34" s="199"/>
      <c r="G34" s="199"/>
      <c r="H34" s="199"/>
      <c r="I34" s="199"/>
      <c r="J34" s="199"/>
      <c r="K34" s="33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0"/>
      <c r="AD34" s="121" t="s">
        <v>55</v>
      </c>
      <c r="AE34" s="206">
        <f>$AQ$40&amp;""</f>
      </c>
      <c r="AF34" s="207"/>
      <c r="AG34" s="207"/>
      <c r="AH34" s="207"/>
      <c r="AI34" s="207"/>
      <c r="AJ34" s="207"/>
      <c r="AK34" s="207"/>
      <c r="AL34" s="207"/>
      <c r="AM34" s="207"/>
      <c r="AN34" s="208"/>
      <c r="AO34" s="22"/>
      <c r="AP34" s="2" t="s">
        <v>108</v>
      </c>
      <c r="AR34" s="2"/>
      <c r="AS34" s="2"/>
    </row>
    <row r="35" spans="1:45" ht="15.75" customHeight="1">
      <c r="A35" s="20"/>
      <c r="B35" s="199"/>
      <c r="C35" s="199"/>
      <c r="D35" s="199"/>
      <c r="E35" s="199"/>
      <c r="F35" s="199"/>
      <c r="G35" s="199"/>
      <c r="H35" s="199"/>
      <c r="I35" s="199"/>
      <c r="J35" s="199"/>
      <c r="K35" s="33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0"/>
      <c r="AD35" s="121"/>
      <c r="AE35" s="209"/>
      <c r="AF35" s="210"/>
      <c r="AG35" s="210"/>
      <c r="AH35" s="210"/>
      <c r="AI35" s="210"/>
      <c r="AJ35" s="210"/>
      <c r="AK35" s="210"/>
      <c r="AL35" s="210"/>
      <c r="AM35" s="210"/>
      <c r="AN35" s="211"/>
      <c r="AO35" s="22"/>
      <c r="AP35" s="2" t="s">
        <v>109</v>
      </c>
      <c r="AR35" s="105"/>
      <c r="AS35" s="106"/>
    </row>
    <row r="36" spans="1:45" ht="15.75" customHeight="1">
      <c r="A36" s="20"/>
      <c r="B36" s="199"/>
      <c r="C36" s="199"/>
      <c r="D36" s="199"/>
      <c r="E36" s="199"/>
      <c r="F36" s="199"/>
      <c r="G36" s="199"/>
      <c r="H36" s="199"/>
      <c r="I36" s="199"/>
      <c r="J36" s="199"/>
      <c r="K36" s="33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0"/>
      <c r="AD36" s="121"/>
      <c r="AE36" s="209"/>
      <c r="AF36" s="210"/>
      <c r="AG36" s="210"/>
      <c r="AH36" s="210"/>
      <c r="AI36" s="210"/>
      <c r="AJ36" s="210"/>
      <c r="AK36" s="210"/>
      <c r="AL36" s="210"/>
      <c r="AM36" s="210"/>
      <c r="AN36" s="211"/>
      <c r="AO36" s="22"/>
      <c r="AP36" s="2" t="s">
        <v>110</v>
      </c>
      <c r="AQ36" s="11"/>
      <c r="AR36" s="105"/>
      <c r="AS36" s="106"/>
    </row>
    <row r="37" spans="1:45" ht="15.75" customHeight="1">
      <c r="A37" s="20"/>
      <c r="B37" s="199"/>
      <c r="C37" s="199"/>
      <c r="D37" s="199"/>
      <c r="E37" s="199"/>
      <c r="F37" s="199"/>
      <c r="G37" s="199"/>
      <c r="H37" s="199"/>
      <c r="I37" s="199"/>
      <c r="J37" s="199"/>
      <c r="K37" s="33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0"/>
      <c r="AD37" s="121"/>
      <c r="AE37" s="209"/>
      <c r="AF37" s="210"/>
      <c r="AG37" s="210"/>
      <c r="AH37" s="210"/>
      <c r="AI37" s="210"/>
      <c r="AJ37" s="210"/>
      <c r="AK37" s="210"/>
      <c r="AL37" s="210"/>
      <c r="AM37" s="210"/>
      <c r="AN37" s="211"/>
      <c r="AO37" s="22"/>
      <c r="AP37" s="2" t="s">
        <v>111</v>
      </c>
      <c r="AR37" s="2"/>
      <c r="AS37" s="2"/>
    </row>
    <row r="38" spans="1:45" ht="15.75" customHeight="1">
      <c r="A38" s="20"/>
      <c r="B38" s="199"/>
      <c r="C38" s="199"/>
      <c r="D38" s="199"/>
      <c r="E38" s="199"/>
      <c r="F38" s="199"/>
      <c r="G38" s="199"/>
      <c r="H38" s="199"/>
      <c r="I38" s="199"/>
      <c r="J38" s="199"/>
      <c r="K38" s="33"/>
      <c r="L38" s="196">
        <f>$AQ$54&amp;""</f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0"/>
      <c r="AD38" s="122"/>
      <c r="AE38" s="212"/>
      <c r="AF38" s="213"/>
      <c r="AG38" s="213"/>
      <c r="AH38" s="213"/>
      <c r="AI38" s="213"/>
      <c r="AJ38" s="213"/>
      <c r="AK38" s="213"/>
      <c r="AL38" s="213"/>
      <c r="AM38" s="213"/>
      <c r="AN38" s="214"/>
      <c r="AO38" s="22"/>
      <c r="AP38" s="2" t="s">
        <v>178</v>
      </c>
      <c r="AR38" s="105"/>
      <c r="AS38" s="106"/>
    </row>
    <row r="39" spans="1:45" ht="15.75" customHeight="1">
      <c r="A39" s="20"/>
      <c r="B39" s="195">
        <f>$AQ$56&amp;""</f>
      </c>
      <c r="C39" s="195"/>
      <c r="D39" s="195"/>
      <c r="E39" s="195"/>
      <c r="F39" s="195"/>
      <c r="G39" s="195"/>
      <c r="H39" s="195"/>
      <c r="I39" s="195"/>
      <c r="J39" s="195"/>
      <c r="K39" s="3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0"/>
      <c r="AD39" s="125" t="s">
        <v>13</v>
      </c>
      <c r="AE39" s="126"/>
      <c r="AF39" s="126"/>
      <c r="AG39" s="126"/>
      <c r="AH39" s="127"/>
      <c r="AI39" s="128">
        <f>$AQ$43&amp;""</f>
      </c>
      <c r="AJ39" s="129"/>
      <c r="AK39" s="129"/>
      <c r="AL39" s="129"/>
      <c r="AM39" s="129"/>
      <c r="AN39" s="143"/>
      <c r="AO39" s="22"/>
      <c r="AP39" s="2" t="s">
        <v>112</v>
      </c>
      <c r="AR39" s="2"/>
      <c r="AS39" s="2"/>
    </row>
    <row r="40" spans="1:45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10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  <c r="AP40" s="2" t="s">
        <v>55</v>
      </c>
      <c r="AR40" s="2"/>
      <c r="AS40" s="2"/>
    </row>
    <row r="41" spans="1:45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 t="s">
        <v>50</v>
      </c>
      <c r="O41" s="9"/>
      <c r="P41" s="9"/>
      <c r="Q41" s="9"/>
      <c r="R41" s="9"/>
      <c r="S41" s="9"/>
      <c r="T41" s="9"/>
      <c r="U41" s="9"/>
      <c r="V41" s="9"/>
      <c r="W41" s="9" t="s">
        <v>56</v>
      </c>
      <c r="X41" s="9"/>
      <c r="Y41" s="9"/>
      <c r="Z41" s="9"/>
      <c r="AA41" s="9"/>
      <c r="AB41" s="42"/>
      <c r="AC41" s="42"/>
      <c r="AD41" s="43"/>
      <c r="AE41" s="42"/>
      <c r="AF41" s="9"/>
      <c r="AG41" s="9"/>
      <c r="AH41" s="9"/>
      <c r="AI41" s="9"/>
      <c r="AJ41" s="9"/>
      <c r="AK41" s="9"/>
      <c r="AL41" s="9"/>
      <c r="AM41" s="9"/>
      <c r="AN41" s="44"/>
      <c r="AO41" s="45" t="s">
        <v>74</v>
      </c>
      <c r="AP41" s="2" t="s">
        <v>123</v>
      </c>
      <c r="AR41" s="2"/>
      <c r="AS41" s="2"/>
    </row>
    <row r="42" spans="1:45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2" t="s">
        <v>117</v>
      </c>
      <c r="AR42" s="2"/>
      <c r="AS42" s="2"/>
    </row>
    <row r="43" spans="1:45" ht="15.75" customHeight="1">
      <c r="A43" s="20"/>
      <c r="B43" s="145">
        <f>$AQ$44&amp;""</f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>
        <f>IF($AQ$47&lt;&gt;"","TEL "&amp;$AQ$47,"")</f>
      </c>
      <c r="U43" s="150"/>
      <c r="V43" s="150"/>
      <c r="W43" s="150"/>
      <c r="X43" s="150"/>
      <c r="Y43" s="150"/>
      <c r="Z43" s="150"/>
      <c r="AA43" s="150"/>
      <c r="AB43" s="150"/>
      <c r="AC43" s="46"/>
      <c r="AD43" s="10"/>
      <c r="AE43" s="138" t="s">
        <v>42</v>
      </c>
      <c r="AF43" s="139"/>
      <c r="AG43" s="139"/>
      <c r="AH43" s="140"/>
      <c r="AI43" s="141">
        <f>$AQ$52&amp;""</f>
      </c>
      <c r="AJ43" s="142"/>
      <c r="AK43" s="142"/>
      <c r="AL43" s="47">
        <f>$AQ$53&amp;""</f>
      </c>
      <c r="AM43" s="47"/>
      <c r="AN43" s="48"/>
      <c r="AO43" s="22"/>
      <c r="AP43" s="2" t="s">
        <v>113</v>
      </c>
      <c r="AR43" s="2"/>
      <c r="AS43" s="2"/>
    </row>
    <row r="44" spans="1:45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10"/>
      <c r="AE44" s="138" t="s">
        <v>43</v>
      </c>
      <c r="AF44" s="146"/>
      <c r="AG44" s="146"/>
      <c r="AH44" s="147"/>
      <c r="AI44" s="50" t="s">
        <v>44</v>
      </c>
      <c r="AJ44" s="133" t="str">
        <f>IF(ISNUMBER(AQ20),(100-AQ20)&amp;"%",$AM$44)</f>
        <v>-</v>
      </c>
      <c r="AK44" s="134"/>
      <c r="AL44" s="51" t="s">
        <v>45</v>
      </c>
      <c r="AM44" s="133" t="str">
        <f>IF(ISNUMBER($AQ$20),$AQ$20&amp;"%",IF($AQ$20&lt;&gt;"",$AQ$20&amp;"","-"))</f>
        <v>-</v>
      </c>
      <c r="AN44" s="134"/>
      <c r="AO44" s="22"/>
      <c r="AP44" s="2" t="s">
        <v>114</v>
      </c>
      <c r="AR44" s="2"/>
      <c r="AS44" s="2"/>
    </row>
    <row r="45" spans="1:42" ht="18.75" customHeight="1">
      <c r="A45" s="20"/>
      <c r="B45" s="52"/>
      <c r="C45" s="152">
        <f>$AQ$45&amp;""</f>
      </c>
      <c r="D45" s="152"/>
      <c r="E45" s="152"/>
      <c r="F45" s="152">
        <f>$AQ$46&amp;""</f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0"/>
      <c r="T45" s="149">
        <f>IF($AQ$48&lt;&gt;"","FAX  "&amp;$AQ$48,"")</f>
      </c>
      <c r="U45" s="149"/>
      <c r="V45" s="149"/>
      <c r="W45" s="149"/>
      <c r="X45" s="149"/>
      <c r="Y45" s="149"/>
      <c r="Z45" s="149"/>
      <c r="AA45" s="149"/>
      <c r="AB45" s="149"/>
      <c r="AC45" s="10"/>
      <c r="AD45" s="10"/>
      <c r="AE45" s="138" t="s">
        <v>46</v>
      </c>
      <c r="AF45" s="139"/>
      <c r="AG45" s="139"/>
      <c r="AH45" s="140"/>
      <c r="AI45" s="50" t="s">
        <v>47</v>
      </c>
      <c r="AJ45" s="133" t="str">
        <f>IF(ISNUMBER(AQ21),(100-AQ21)&amp;"%",$AM$45)</f>
        <v>-</v>
      </c>
      <c r="AK45" s="134"/>
      <c r="AL45" s="51" t="s">
        <v>48</v>
      </c>
      <c r="AM45" s="133" t="str">
        <f>IF(ISNUMBER($AQ$21),$AQ$21&amp;"%",IF($AQ$21&lt;&gt;"",$AQ$21&amp;"","-"))</f>
        <v>-</v>
      </c>
      <c r="AN45" s="134"/>
      <c r="AO45" s="22"/>
      <c r="AP45" s="1" t="s">
        <v>118</v>
      </c>
    </row>
    <row r="46" spans="1:42" ht="7.5" customHeight="1">
      <c r="A46" s="20"/>
      <c r="B46" s="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31"/>
      <c r="AF46" s="31"/>
      <c r="AG46" s="31"/>
      <c r="AH46" s="31"/>
      <c r="AI46" s="31"/>
      <c r="AJ46" s="31"/>
      <c r="AK46" s="53"/>
      <c r="AL46" s="31"/>
      <c r="AM46" s="31"/>
      <c r="AN46" s="53"/>
      <c r="AO46" s="22"/>
      <c r="AP46" s="1" t="s">
        <v>115</v>
      </c>
    </row>
    <row r="47" spans="1:42" ht="18.75" customHeight="1" thickBot="1">
      <c r="A47" s="36"/>
      <c r="B47" s="54"/>
      <c r="C47" s="144">
        <f>$AQ$49&amp;""</f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37"/>
      <c r="T47" s="148">
        <f>$AQ$50&amp;""</f>
      </c>
      <c r="U47" s="148"/>
      <c r="V47" s="148"/>
      <c r="W47" s="148"/>
      <c r="X47" s="148"/>
      <c r="Y47" s="148"/>
      <c r="Z47" s="148"/>
      <c r="AA47" s="148"/>
      <c r="AB47" s="37"/>
      <c r="AC47" s="37"/>
      <c r="AD47" s="37"/>
      <c r="AE47" s="151" t="s">
        <v>49</v>
      </c>
      <c r="AF47" s="151"/>
      <c r="AG47" s="151"/>
      <c r="AH47" s="151"/>
      <c r="AI47" s="132">
        <f>TEXT($AQ$51,"YYYY年MM月DD日;;")</f>
      </c>
      <c r="AJ47" s="132"/>
      <c r="AK47" s="132"/>
      <c r="AL47" s="132"/>
      <c r="AM47" s="132"/>
      <c r="AN47" s="132"/>
      <c r="AO47" s="40"/>
      <c r="AP47" s="1" t="s">
        <v>119</v>
      </c>
    </row>
    <row r="48" ht="14.25">
      <c r="AP48" s="1" t="s">
        <v>120</v>
      </c>
    </row>
    <row r="49" ht="14.25">
      <c r="AP49" s="1" t="s">
        <v>121</v>
      </c>
    </row>
    <row r="50" ht="14.25">
      <c r="AP50" s="1" t="s">
        <v>124</v>
      </c>
    </row>
    <row r="51" ht="14.25">
      <c r="AP51" s="1" t="s">
        <v>116</v>
      </c>
    </row>
    <row r="52" ht="14.25">
      <c r="AP52" s="1" t="s">
        <v>136</v>
      </c>
    </row>
    <row r="53" ht="14.25">
      <c r="AP53" s="1" t="s">
        <v>135</v>
      </c>
    </row>
    <row r="54" ht="14.25">
      <c r="AP54" s="1" t="s">
        <v>141</v>
      </c>
    </row>
    <row r="55" ht="14.25">
      <c r="AP55" s="1" t="s">
        <v>142</v>
      </c>
    </row>
    <row r="56" ht="14.25">
      <c r="AP56" s="1" t="s">
        <v>143</v>
      </c>
    </row>
    <row r="57" ht="14.25">
      <c r="AP57" s="1" t="s">
        <v>170</v>
      </c>
    </row>
    <row r="58" ht="14.25">
      <c r="AP58" s="1" t="s">
        <v>203</v>
      </c>
    </row>
  </sheetData>
  <sheetProtection/>
  <mergeCells count="82">
    <mergeCell ref="AI12:AN12"/>
    <mergeCell ref="AE16:AH16"/>
    <mergeCell ref="AE15:AH15"/>
    <mergeCell ref="AE13:AH13"/>
    <mergeCell ref="AI13:AN13"/>
    <mergeCell ref="AI15:AN15"/>
    <mergeCell ref="AI16:AN16"/>
    <mergeCell ref="AI14:AN14"/>
    <mergeCell ref="AR38:AS38"/>
    <mergeCell ref="AI21:AN21"/>
    <mergeCell ref="AR36:AS36"/>
    <mergeCell ref="AR31:AS31"/>
    <mergeCell ref="AR35:AS35"/>
    <mergeCell ref="AE25:AN25"/>
    <mergeCell ref="AE34:AN38"/>
    <mergeCell ref="AI22:AN22"/>
    <mergeCell ref="AE26:AN33"/>
    <mergeCell ref="AL24:AN24"/>
    <mergeCell ref="AD9:AD14"/>
    <mergeCell ref="AD24:AD25"/>
    <mergeCell ref="AE18:AH18"/>
    <mergeCell ref="AE19:AH19"/>
    <mergeCell ref="AE17:AH17"/>
    <mergeCell ref="AE21:AH21"/>
    <mergeCell ref="AE22:AH22"/>
    <mergeCell ref="AE14:AH14"/>
    <mergeCell ref="AI39:AN39"/>
    <mergeCell ref="AD15:AD23"/>
    <mergeCell ref="AD26:AD33"/>
    <mergeCell ref="AD39:AH39"/>
    <mergeCell ref="AE24:AH24"/>
    <mergeCell ref="AI19:AN19"/>
    <mergeCell ref="AI18:AN18"/>
    <mergeCell ref="AI20:AN20"/>
    <mergeCell ref="AE20:AH20"/>
    <mergeCell ref="AD34:AD38"/>
    <mergeCell ref="AI47:AN47"/>
    <mergeCell ref="AE23:AH23"/>
    <mergeCell ref="AJ45:AK45"/>
    <mergeCell ref="AI23:AN23"/>
    <mergeCell ref="AM44:AN44"/>
    <mergeCell ref="AM45:AN45"/>
    <mergeCell ref="AE43:AH43"/>
    <mergeCell ref="AJ44:AK44"/>
    <mergeCell ref="AI24:AK24"/>
    <mergeCell ref="AI43:AK43"/>
    <mergeCell ref="C47:R47"/>
    <mergeCell ref="B43:S44"/>
    <mergeCell ref="AE44:AH44"/>
    <mergeCell ref="T47:AA47"/>
    <mergeCell ref="T45:AB45"/>
    <mergeCell ref="AE45:AH45"/>
    <mergeCell ref="T43:AB44"/>
    <mergeCell ref="AE47:AH47"/>
    <mergeCell ref="C45:E45"/>
    <mergeCell ref="F45:R45"/>
    <mergeCell ref="B2:J6"/>
    <mergeCell ref="L2:R6"/>
    <mergeCell ref="S2:S6"/>
    <mergeCell ref="AD5:AE6"/>
    <mergeCell ref="T2:AB6"/>
    <mergeCell ref="AD2:AI4"/>
    <mergeCell ref="AF5:AK6"/>
    <mergeCell ref="AJ2:AN4"/>
    <mergeCell ref="AL5:AN6"/>
    <mergeCell ref="AE7:AN7"/>
    <mergeCell ref="AI11:AN11"/>
    <mergeCell ref="AI10:AN10"/>
    <mergeCell ref="AI17:AN17"/>
    <mergeCell ref="AE10:AH10"/>
    <mergeCell ref="AE8:AN8"/>
    <mergeCell ref="AE9:AH9"/>
    <mergeCell ref="AI9:AN9"/>
    <mergeCell ref="AE11:AH11"/>
    <mergeCell ref="AE12:AH12"/>
    <mergeCell ref="B39:J39"/>
    <mergeCell ref="B28:J28"/>
    <mergeCell ref="L38:AB39"/>
    <mergeCell ref="L8:AB37"/>
    <mergeCell ref="B8:J16"/>
    <mergeCell ref="B18:J27"/>
    <mergeCell ref="B29:J38"/>
  </mergeCells>
  <printOptions horizontalCentered="1"/>
  <pageMargins left="0.3937007874015748" right="0.3937007874015748" top="0.35433070866141736" bottom="0.2362204724409449" header="0.1968503937007874" footer="0.1968503937007874"/>
  <pageSetup horizontalDpi="600" verticalDpi="600" orientation="landscape" paperSize="12" r:id="rId2"/>
  <ignoredErrors>
    <ignoredError sqref="AR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7"/>
  <sheetViews>
    <sheetView view="pageBreakPreview" zoomScale="75" zoomScaleNormal="50" zoomScaleSheetLayoutView="75" zoomScalePageLayoutView="0" workbookViewId="0" topLeftCell="A1">
      <selection activeCell="L46" sqref="L46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1.875" style="1" customWidth="1"/>
    <col min="42" max="42" width="11.00390625" style="1" hidden="1" customWidth="1"/>
    <col min="43" max="43" width="11.625" style="1" hidden="1" customWidth="1"/>
    <col min="44" max="45" width="4.50390625" style="1" hidden="1" customWidth="1"/>
    <col min="46" max="49" width="6.50390625" style="1" hidden="1" customWidth="1"/>
    <col min="50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2" ht="14.25" customHeight="1">
      <c r="A2" s="20"/>
      <c r="B2" s="153">
        <f>IF($AQ$23&lt;&gt;"","賃貸"&amp;$AQ$23,"")</f>
      </c>
      <c r="C2" s="154"/>
      <c r="D2" s="154"/>
      <c r="E2" s="154"/>
      <c r="F2" s="154"/>
      <c r="G2" s="154"/>
      <c r="H2" s="154"/>
      <c r="I2" s="154"/>
      <c r="J2" s="154"/>
      <c r="K2" s="55"/>
      <c r="L2" s="153" t="str">
        <f>TEXT(ROUNDDOWN(N($AQ$7)*0.3025,2),"#,##0.0#坪;;-")</f>
        <v>-</v>
      </c>
      <c r="M2" s="154"/>
      <c r="N2" s="154"/>
      <c r="O2" s="154"/>
      <c r="P2" s="154"/>
      <c r="Q2" s="245"/>
      <c r="R2" s="246"/>
      <c r="S2" s="242" t="s">
        <v>59</v>
      </c>
      <c r="T2" s="153" t="str">
        <f>TEXT(N($AQ$10),"#,###,###円;;-")</f>
        <v>-</v>
      </c>
      <c r="U2" s="200"/>
      <c r="V2" s="200"/>
      <c r="W2" s="200"/>
      <c r="X2" s="200"/>
      <c r="Y2" s="200"/>
      <c r="Z2" s="200"/>
      <c r="AA2" s="200"/>
      <c r="AB2" s="201"/>
      <c r="AC2" s="56"/>
      <c r="AD2" s="178">
        <f>$AQ$25&amp;""</f>
      </c>
      <c r="AE2" s="179"/>
      <c r="AF2" s="179"/>
      <c r="AG2" s="179"/>
      <c r="AH2" s="179"/>
      <c r="AI2" s="179"/>
      <c r="AJ2" s="184">
        <f>$AQ$26&amp;""</f>
      </c>
      <c r="AK2" s="184"/>
      <c r="AL2" s="184"/>
      <c r="AM2" s="184"/>
      <c r="AN2" s="185"/>
      <c r="AO2" s="22"/>
      <c r="AP2" s="1" t="s">
        <v>78</v>
      </c>
    </row>
    <row r="3" spans="1:42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56"/>
      <c r="K3" s="55"/>
      <c r="L3" s="155"/>
      <c r="M3" s="156"/>
      <c r="N3" s="156"/>
      <c r="O3" s="156"/>
      <c r="P3" s="156"/>
      <c r="Q3" s="247"/>
      <c r="R3" s="248"/>
      <c r="S3" s="243"/>
      <c r="T3" s="202"/>
      <c r="U3" s="182"/>
      <c r="V3" s="182"/>
      <c r="W3" s="182"/>
      <c r="X3" s="182"/>
      <c r="Y3" s="182"/>
      <c r="Z3" s="182"/>
      <c r="AA3" s="182"/>
      <c r="AB3" s="203"/>
      <c r="AC3" s="56"/>
      <c r="AD3" s="180"/>
      <c r="AE3" s="181"/>
      <c r="AF3" s="181"/>
      <c r="AG3" s="181"/>
      <c r="AH3" s="181"/>
      <c r="AI3" s="181"/>
      <c r="AJ3" s="186"/>
      <c r="AK3" s="186"/>
      <c r="AL3" s="186"/>
      <c r="AM3" s="186"/>
      <c r="AN3" s="187"/>
      <c r="AO3" s="22"/>
      <c r="AP3" s="1" t="s">
        <v>79</v>
      </c>
    </row>
    <row r="4" spans="1:42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56"/>
      <c r="K4" s="55"/>
      <c r="L4" s="155"/>
      <c r="M4" s="156"/>
      <c r="N4" s="156"/>
      <c r="O4" s="156"/>
      <c r="P4" s="156"/>
      <c r="Q4" s="247"/>
      <c r="R4" s="248"/>
      <c r="S4" s="243"/>
      <c r="T4" s="202"/>
      <c r="U4" s="182"/>
      <c r="V4" s="182"/>
      <c r="W4" s="182"/>
      <c r="X4" s="182"/>
      <c r="Y4" s="182"/>
      <c r="Z4" s="182"/>
      <c r="AA4" s="182"/>
      <c r="AB4" s="203"/>
      <c r="AC4" s="56"/>
      <c r="AD4" s="180"/>
      <c r="AE4" s="181"/>
      <c r="AF4" s="181"/>
      <c r="AG4" s="181"/>
      <c r="AH4" s="181"/>
      <c r="AI4" s="181"/>
      <c r="AJ4" s="186"/>
      <c r="AK4" s="186"/>
      <c r="AL4" s="186"/>
      <c r="AM4" s="186"/>
      <c r="AN4" s="187"/>
      <c r="AO4" s="22"/>
      <c r="AP4" s="1" t="s">
        <v>80</v>
      </c>
    </row>
    <row r="5" spans="1:42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56"/>
      <c r="K5" s="55"/>
      <c r="L5" s="155"/>
      <c r="M5" s="156"/>
      <c r="N5" s="156"/>
      <c r="O5" s="156"/>
      <c r="P5" s="156"/>
      <c r="Q5" s="247"/>
      <c r="R5" s="248"/>
      <c r="S5" s="243"/>
      <c r="T5" s="202"/>
      <c r="U5" s="182"/>
      <c r="V5" s="182"/>
      <c r="W5" s="182"/>
      <c r="X5" s="182"/>
      <c r="Y5" s="182"/>
      <c r="Z5" s="182"/>
      <c r="AA5" s="182"/>
      <c r="AB5" s="203"/>
      <c r="AC5" s="56"/>
      <c r="AD5" s="165">
        <f>TEXT(N($AQ$2),"バス#分;;")</f>
      </c>
      <c r="AE5" s="166"/>
      <c r="AF5" s="166">
        <f>IF($AQ$3&lt;&gt;"",$AQ$3&amp;"下車","")</f>
      </c>
      <c r="AG5" s="182"/>
      <c r="AH5" s="182"/>
      <c r="AI5" s="182"/>
      <c r="AJ5" s="182"/>
      <c r="AK5" s="182"/>
      <c r="AL5" s="166">
        <f>TEXT(ROUNDUP(N($AQ$4)/80,0),"徒歩#分;;")</f>
      </c>
      <c r="AM5" s="166"/>
      <c r="AN5" s="188"/>
      <c r="AO5" s="22"/>
      <c r="AP5" s="1" t="s">
        <v>126</v>
      </c>
    </row>
    <row r="6" spans="1:42" ht="11.25" customHeight="1">
      <c r="A6" s="20" t="s">
        <v>57</v>
      </c>
      <c r="B6" s="157"/>
      <c r="C6" s="158"/>
      <c r="D6" s="158"/>
      <c r="E6" s="158"/>
      <c r="F6" s="158"/>
      <c r="G6" s="158"/>
      <c r="H6" s="158"/>
      <c r="I6" s="158"/>
      <c r="J6" s="158"/>
      <c r="K6" s="55"/>
      <c r="L6" s="157"/>
      <c r="M6" s="158"/>
      <c r="N6" s="158"/>
      <c r="O6" s="158"/>
      <c r="P6" s="158"/>
      <c r="Q6" s="249"/>
      <c r="R6" s="250"/>
      <c r="S6" s="244"/>
      <c r="T6" s="204"/>
      <c r="U6" s="183"/>
      <c r="V6" s="183"/>
      <c r="W6" s="183"/>
      <c r="X6" s="183"/>
      <c r="Y6" s="183"/>
      <c r="Z6" s="183"/>
      <c r="AA6" s="183"/>
      <c r="AB6" s="205"/>
      <c r="AC6" s="56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P6" s="1" t="s">
        <v>127</v>
      </c>
    </row>
    <row r="7" spans="1:42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57"/>
      <c r="U7" s="58"/>
      <c r="V7" s="58"/>
      <c r="W7" s="58"/>
      <c r="X7" s="58"/>
      <c r="Y7" s="58"/>
      <c r="Z7" s="57"/>
      <c r="AA7" s="58"/>
      <c r="AB7" s="58"/>
      <c r="AC7" s="58"/>
      <c r="AD7" s="59" t="s">
        <v>1</v>
      </c>
      <c r="AE7" s="239">
        <f>$AQ$9&amp;""</f>
      </c>
      <c r="AF7" s="240"/>
      <c r="AG7" s="240"/>
      <c r="AH7" s="240"/>
      <c r="AI7" s="240"/>
      <c r="AJ7" s="240"/>
      <c r="AK7" s="240"/>
      <c r="AL7" s="240"/>
      <c r="AM7" s="240"/>
      <c r="AN7" s="241"/>
      <c r="AO7" s="22"/>
      <c r="AP7" s="1" t="s">
        <v>189</v>
      </c>
    </row>
    <row r="8" spans="1:42" ht="25.5" customHeight="1">
      <c r="A8" s="20"/>
      <c r="B8" s="198">
        <f>$AQ$42&amp;""</f>
      </c>
      <c r="C8" s="198"/>
      <c r="D8" s="198"/>
      <c r="E8" s="198"/>
      <c r="F8" s="198"/>
      <c r="G8" s="198"/>
      <c r="H8" s="198"/>
      <c r="I8" s="198"/>
      <c r="J8" s="198"/>
      <c r="K8" s="10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58"/>
      <c r="AD8" s="61"/>
      <c r="AE8" s="62"/>
      <c r="AF8" s="10"/>
      <c r="AG8" s="10"/>
      <c r="AH8" s="10"/>
      <c r="AI8" s="10"/>
      <c r="AJ8" s="10"/>
      <c r="AK8" s="10"/>
      <c r="AL8" s="10"/>
      <c r="AM8" s="10"/>
      <c r="AN8" s="10"/>
      <c r="AO8" s="22"/>
      <c r="AP8" s="1" t="s">
        <v>125</v>
      </c>
    </row>
    <row r="9" spans="1:42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32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"/>
      <c r="AD9" s="221" t="s">
        <v>2</v>
      </c>
      <c r="AE9" s="227" t="s">
        <v>202</v>
      </c>
      <c r="AF9" s="228"/>
      <c r="AG9" s="228"/>
      <c r="AH9" s="229"/>
      <c r="AI9" s="97" t="str">
        <f>IF($AQ$5&lt;&gt;"",$AQ$5&amp;"","-")</f>
        <v>-</v>
      </c>
      <c r="AJ9" s="98"/>
      <c r="AK9" s="98"/>
      <c r="AL9" s="98"/>
      <c r="AM9" s="98"/>
      <c r="AN9" s="99"/>
      <c r="AO9" s="22"/>
      <c r="AP9" s="2" t="s">
        <v>101</v>
      </c>
    </row>
    <row r="10" spans="1:42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10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"/>
      <c r="AD10" s="222"/>
      <c r="AE10" s="227" t="s">
        <v>4</v>
      </c>
      <c r="AF10" s="228"/>
      <c r="AG10" s="228"/>
      <c r="AH10" s="229"/>
      <c r="AI10" s="97" t="str">
        <f>TEXT($AQ$7,"#,##0.0#㎡;;-")</f>
        <v>-</v>
      </c>
      <c r="AJ10" s="98"/>
      <c r="AK10" s="98"/>
      <c r="AL10" s="98">
        <f>IF($AQ$8&lt;&gt;"","("&amp;$AQ$8&amp;")","")</f>
      </c>
      <c r="AM10" s="98"/>
      <c r="AN10" s="99"/>
      <c r="AO10" s="22"/>
      <c r="AP10" s="1" t="s">
        <v>62</v>
      </c>
    </row>
    <row r="11" spans="1:41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10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"/>
      <c r="AD11" s="222"/>
      <c r="AE11" s="233" t="s">
        <v>5</v>
      </c>
      <c r="AF11" s="234"/>
      <c r="AG11" s="234"/>
      <c r="AH11" s="235"/>
      <c r="AI11" s="97">
        <f>$AQ$18&amp;IF($AQ$6&lt;&gt;""," ("&amp;$AQ$6&amp;")","")</f>
      </c>
      <c r="AJ11" s="98"/>
      <c r="AK11" s="98"/>
      <c r="AL11" s="98"/>
      <c r="AM11" s="98"/>
      <c r="AN11" s="99"/>
      <c r="AO11" s="22"/>
    </row>
    <row r="12" spans="1:45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32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"/>
      <c r="AD12" s="222"/>
      <c r="AE12" s="15"/>
      <c r="AF12" s="15"/>
      <c r="AG12" s="15"/>
      <c r="AH12" s="63"/>
      <c r="AI12" s="97">
        <f>$AQ$19&amp;""</f>
      </c>
      <c r="AJ12" s="98"/>
      <c r="AK12" s="98"/>
      <c r="AL12" s="98"/>
      <c r="AM12" s="98"/>
      <c r="AN12" s="99"/>
      <c r="AO12" s="22"/>
      <c r="AP12" s="1" t="s">
        <v>87</v>
      </c>
      <c r="AR12" s="8" t="str">
        <f>IF(N(AQ12)=0,"-",IF(N(AQ12)&lt;100,AQ12&amp;"ヶ月",TEXT(N(AQ12),"#,###,###円")))</f>
        <v>-</v>
      </c>
      <c r="AS12" s="8" t="str">
        <f>IF(N(AQ12)=0,"-",IF(N(AQ12)&lt;100,N(AQ12)*N(AQ10),N(AQ12)))</f>
        <v>-</v>
      </c>
    </row>
    <row r="13" spans="1:45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32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"/>
      <c r="AD13" s="222"/>
      <c r="AE13" s="15"/>
      <c r="AF13" s="15"/>
      <c r="AG13" s="15"/>
      <c r="AH13" s="63"/>
      <c r="AI13" s="97">
        <f>$AQ$20&amp;""</f>
      </c>
      <c r="AJ13" s="98"/>
      <c r="AK13" s="98"/>
      <c r="AL13" s="98"/>
      <c r="AM13" s="98"/>
      <c r="AN13" s="99"/>
      <c r="AO13" s="22"/>
      <c r="AP13" s="1" t="s">
        <v>88</v>
      </c>
      <c r="AR13" s="8" t="str">
        <f>IF(N(AQ13)=0,"-",IF(N(AQ13)&lt;100,AQ13&amp;"ヶ月",TEXT(N(AQ13),"#,###,###円")))</f>
        <v>-</v>
      </c>
      <c r="AS13" s="8" t="str">
        <f>IF(N(AQ13)=0,"-",IF(N(AQ13)&lt;100,N(AQ13)*N(AQ10),N(AQ13)))</f>
        <v>-</v>
      </c>
    </row>
    <row r="14" spans="1:42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32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"/>
      <c r="AD14" s="222"/>
      <c r="AE14" s="64"/>
      <c r="AF14" s="64"/>
      <c r="AG14" s="64"/>
      <c r="AH14" s="65"/>
      <c r="AI14" s="97">
        <f>$AQ$21&amp;""</f>
      </c>
      <c r="AJ14" s="98"/>
      <c r="AK14" s="98"/>
      <c r="AL14" s="98"/>
      <c r="AM14" s="98"/>
      <c r="AN14" s="99"/>
      <c r="AO14" s="22"/>
      <c r="AP14" s="1" t="s">
        <v>89</v>
      </c>
    </row>
    <row r="15" spans="1:48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32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"/>
      <c r="AD15" s="222"/>
      <c r="AE15" s="233" t="s">
        <v>6</v>
      </c>
      <c r="AF15" s="234"/>
      <c r="AG15" s="234"/>
      <c r="AH15" s="235"/>
      <c r="AI15" s="230" t="str">
        <f>IF($AQ$22&lt;&gt;"",$AQ$22&amp;"","-")</f>
        <v>-</v>
      </c>
      <c r="AJ15" s="231"/>
      <c r="AK15" s="231"/>
      <c r="AL15" s="231"/>
      <c r="AM15" s="231"/>
      <c r="AN15" s="232"/>
      <c r="AO15" s="22"/>
      <c r="AP15" s="1" t="s">
        <v>90</v>
      </c>
      <c r="AR15" s="8">
        <f>IF(N(AQ15)=0,"",IF(AQ15&lt;100,AQ15&amp;"ヶ月",TEXT(N(AQ15),"#,###,###円")))</f>
      </c>
      <c r="AV15" s="5"/>
    </row>
    <row r="16" spans="1:44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10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"/>
      <c r="AD16" s="222"/>
      <c r="AE16" s="251" t="s">
        <v>71</v>
      </c>
      <c r="AF16" s="252"/>
      <c r="AG16" s="252"/>
      <c r="AH16" s="253"/>
      <c r="AI16" s="236">
        <f>IF($AQ$33&lt;&gt;"",$AQ$33&amp;"","")</f>
      </c>
      <c r="AJ16" s="237"/>
      <c r="AK16" s="237"/>
      <c r="AL16" s="237">
        <f>$AR$15&amp;""</f>
      </c>
      <c r="AM16" s="237"/>
      <c r="AN16" s="238"/>
      <c r="AO16" s="22"/>
      <c r="AP16" s="1" t="s">
        <v>91</v>
      </c>
      <c r="AR16" s="1" t="str">
        <f>IF(N(AQ16)=0,"-",IF(N(AQ16)&lt;100,AQ16&amp;"ヶ月",IF(N(AQ16)=100,"実費",IF(N(AQ16)&lt;=200,TEXT(N(AQ16)-100,"#""%"""),TEXT(N(AQ16),"#,###,###円")))))</f>
        <v>-</v>
      </c>
    </row>
    <row r="17" spans="1:41" ht="15.75" customHeight="1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32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"/>
      <c r="AD17" s="222"/>
      <c r="AE17" s="227" t="s">
        <v>7</v>
      </c>
      <c r="AF17" s="228"/>
      <c r="AG17" s="228"/>
      <c r="AH17" s="229"/>
      <c r="AI17" s="230" t="str">
        <f>IF($AQ$27&lt;&gt;"",$AQ$27&amp;"","-")</f>
        <v>-</v>
      </c>
      <c r="AJ17" s="231"/>
      <c r="AK17" s="231"/>
      <c r="AL17" s="231"/>
      <c r="AM17" s="231"/>
      <c r="AN17" s="232"/>
      <c r="AO17" s="22"/>
    </row>
    <row r="18" spans="1:42" ht="15.75" customHeight="1">
      <c r="A18" s="20"/>
      <c r="B18" s="215"/>
      <c r="C18" s="215"/>
      <c r="D18" s="215"/>
      <c r="E18" s="215"/>
      <c r="F18" s="215"/>
      <c r="G18" s="215"/>
      <c r="H18" s="215"/>
      <c r="I18" s="215"/>
      <c r="J18" s="215"/>
      <c r="K18" s="10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"/>
      <c r="AD18" s="222"/>
      <c r="AE18" s="227" t="s">
        <v>8</v>
      </c>
      <c r="AF18" s="228"/>
      <c r="AG18" s="228"/>
      <c r="AH18" s="229"/>
      <c r="AI18" s="230" t="str">
        <f>IF($AQ$28&lt;&gt;"",$AQ$28&amp;"","-")</f>
        <v>-</v>
      </c>
      <c r="AJ18" s="231"/>
      <c r="AK18" s="231"/>
      <c r="AL18" s="231"/>
      <c r="AM18" s="231"/>
      <c r="AN18" s="232"/>
      <c r="AO18" s="22"/>
      <c r="AP18" s="1" t="s">
        <v>128</v>
      </c>
    </row>
    <row r="19" spans="1:42" ht="15.75" customHeight="1">
      <c r="A19" s="20"/>
      <c r="B19" s="215"/>
      <c r="C19" s="215"/>
      <c r="D19" s="215"/>
      <c r="E19" s="215"/>
      <c r="F19" s="215"/>
      <c r="G19" s="215"/>
      <c r="H19" s="215"/>
      <c r="I19" s="215"/>
      <c r="J19" s="215"/>
      <c r="K19" s="10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"/>
      <c r="AD19" s="222"/>
      <c r="AE19" s="97" t="s">
        <v>70</v>
      </c>
      <c r="AF19" s="98"/>
      <c r="AG19" s="98"/>
      <c r="AH19" s="99"/>
      <c r="AI19" s="97" t="str">
        <f>TEXT(N($AQ$29),"#""%"";;-")&amp;"/"&amp;TEXT(N($AQ$30),"#""%"";;-")</f>
        <v>-/-</v>
      </c>
      <c r="AJ19" s="98"/>
      <c r="AK19" s="98"/>
      <c r="AL19" s="98"/>
      <c r="AM19" s="98"/>
      <c r="AN19" s="99"/>
      <c r="AO19" s="22"/>
      <c r="AP19" s="1" t="s">
        <v>129</v>
      </c>
    </row>
    <row r="20" spans="1:42" ht="15.75" customHeight="1">
      <c r="A20" s="20"/>
      <c r="B20" s="215"/>
      <c r="C20" s="215"/>
      <c r="D20" s="215"/>
      <c r="E20" s="215"/>
      <c r="F20" s="215"/>
      <c r="G20" s="215"/>
      <c r="H20" s="215"/>
      <c r="I20" s="215"/>
      <c r="J20" s="215"/>
      <c r="K20" s="32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"/>
      <c r="AD20" s="222"/>
      <c r="AE20" s="97" t="s">
        <v>138</v>
      </c>
      <c r="AF20" s="98"/>
      <c r="AG20" s="98"/>
      <c r="AH20" s="99"/>
      <c r="AI20" s="97" t="str">
        <f>IF(N($AQ$32)&lt;&gt;0,TEXT($AQ$32,"#,##0.0#㎡;;"),IF(AQ34&lt;&gt;"",AQ34&amp;"","-"))</f>
        <v>-</v>
      </c>
      <c r="AJ20" s="98"/>
      <c r="AK20" s="98"/>
      <c r="AL20" s="98"/>
      <c r="AM20" s="98"/>
      <c r="AN20" s="99"/>
      <c r="AO20" s="22"/>
      <c r="AP20" s="1" t="s">
        <v>130</v>
      </c>
    </row>
    <row r="21" spans="1:42" ht="15.75" customHeight="1">
      <c r="A21" s="20"/>
      <c r="B21" s="215"/>
      <c r="C21" s="215"/>
      <c r="D21" s="215"/>
      <c r="E21" s="215"/>
      <c r="F21" s="215"/>
      <c r="G21" s="215"/>
      <c r="H21" s="215"/>
      <c r="I21" s="215"/>
      <c r="J21" s="215"/>
      <c r="K21" s="32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"/>
      <c r="AD21" s="222"/>
      <c r="AE21" s="216" t="s">
        <v>23</v>
      </c>
      <c r="AF21" s="217"/>
      <c r="AG21" s="217"/>
      <c r="AH21" s="218"/>
      <c r="AI21" s="230" t="str">
        <f>IF($AQ$35&lt;&gt;"",$AQ$35&amp;"","-")</f>
        <v>-</v>
      </c>
      <c r="AJ21" s="231"/>
      <c r="AK21" s="231"/>
      <c r="AL21" s="231"/>
      <c r="AM21" s="231"/>
      <c r="AN21" s="232"/>
      <c r="AO21" s="22"/>
      <c r="AP21" s="1" t="s">
        <v>131</v>
      </c>
    </row>
    <row r="22" spans="1:42" ht="15.75" customHeight="1">
      <c r="A22" s="20"/>
      <c r="B22" s="215"/>
      <c r="C22" s="215"/>
      <c r="D22" s="215"/>
      <c r="E22" s="215"/>
      <c r="F22" s="215"/>
      <c r="G22" s="215"/>
      <c r="H22" s="215"/>
      <c r="I22" s="215"/>
      <c r="J22" s="215"/>
      <c r="K22" s="10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"/>
      <c r="AD22" s="223"/>
      <c r="AE22" s="216"/>
      <c r="AF22" s="217"/>
      <c r="AG22" s="217"/>
      <c r="AH22" s="218"/>
      <c r="AI22" s="257"/>
      <c r="AJ22" s="258"/>
      <c r="AK22" s="258"/>
      <c r="AL22" s="258"/>
      <c r="AM22" s="258"/>
      <c r="AN22" s="259"/>
      <c r="AO22" s="22"/>
      <c r="AP22" s="1" t="s">
        <v>132</v>
      </c>
    </row>
    <row r="23" spans="1:45" ht="15.75" customHeight="1">
      <c r="A23" s="20"/>
      <c r="B23" s="215"/>
      <c r="C23" s="215"/>
      <c r="D23" s="215"/>
      <c r="E23" s="215"/>
      <c r="F23" s="215"/>
      <c r="G23" s="215"/>
      <c r="H23" s="215"/>
      <c r="I23" s="215"/>
      <c r="J23" s="215"/>
      <c r="K23" s="10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"/>
      <c r="AD23" s="221" t="s">
        <v>58</v>
      </c>
      <c r="AE23" s="97" t="s">
        <v>59</v>
      </c>
      <c r="AF23" s="98"/>
      <c r="AG23" s="98"/>
      <c r="AH23" s="99"/>
      <c r="AI23" s="97" t="str">
        <f>IF($T$2="","-",$T$2&amp;"")</f>
        <v>-</v>
      </c>
      <c r="AJ23" s="98"/>
      <c r="AK23" s="98"/>
      <c r="AL23" s="98"/>
      <c r="AM23" s="98">
        <f>$AQ$24&amp;""</f>
      </c>
      <c r="AN23" s="99"/>
      <c r="AO23" s="22"/>
      <c r="AP23" s="2" t="s">
        <v>97</v>
      </c>
      <c r="AR23" s="2"/>
      <c r="AS23" s="2"/>
    </row>
    <row r="24" spans="1:45" ht="15.75" customHeight="1">
      <c r="A24" s="20"/>
      <c r="B24" s="215"/>
      <c r="C24" s="215"/>
      <c r="D24" s="215"/>
      <c r="E24" s="215"/>
      <c r="F24" s="215"/>
      <c r="G24" s="215"/>
      <c r="H24" s="215"/>
      <c r="I24" s="215"/>
      <c r="J24" s="215"/>
      <c r="K24" s="10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"/>
      <c r="AD24" s="222"/>
      <c r="AE24" s="97" t="s">
        <v>187</v>
      </c>
      <c r="AF24" s="98"/>
      <c r="AG24" s="98"/>
      <c r="AH24" s="99"/>
      <c r="AI24" s="102" t="str">
        <f>IF(AND(N(AQ12)&lt;&gt;0,N(AQ13)&lt;&gt;0),TEXT(N(AS12)+N(AS13),"#,###,###円;;"),IF(N(AQ12)&lt;&gt;0,AR12,IF(N(AQ13)&lt;&gt;0,AR13,"-")))&amp;""</f>
        <v>-</v>
      </c>
      <c r="AJ24" s="98"/>
      <c r="AK24" s="98"/>
      <c r="AL24" s="98"/>
      <c r="AM24" s="98"/>
      <c r="AN24" s="99"/>
      <c r="AO24" s="22"/>
      <c r="AP24" s="2" t="s">
        <v>133</v>
      </c>
      <c r="AR24" s="2"/>
      <c r="AS24" s="2"/>
    </row>
    <row r="25" spans="1:45" ht="15.75" customHeight="1">
      <c r="A25" s="20"/>
      <c r="B25" s="215"/>
      <c r="C25" s="215"/>
      <c r="D25" s="215"/>
      <c r="E25" s="215"/>
      <c r="F25" s="215"/>
      <c r="G25" s="215"/>
      <c r="H25" s="215"/>
      <c r="I25" s="215"/>
      <c r="J25" s="215"/>
      <c r="K25" s="10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"/>
      <c r="AD25" s="222"/>
      <c r="AE25" s="97" t="s">
        <v>209</v>
      </c>
      <c r="AF25" s="98"/>
      <c r="AG25" s="98"/>
      <c r="AH25" s="99"/>
      <c r="AI25" s="102" t="str">
        <f>IF(N(AQ14)=0,"-",IF(AQ14&lt;100,AQ14&amp;"ヶ月",TEXT(N(AQ14),"#,###,###円;;")))</f>
        <v>-</v>
      </c>
      <c r="AJ25" s="98"/>
      <c r="AK25" s="98"/>
      <c r="AL25" s="98"/>
      <c r="AM25" s="98"/>
      <c r="AN25" s="99"/>
      <c r="AO25" s="22"/>
      <c r="AP25" s="2" t="s">
        <v>99</v>
      </c>
      <c r="AR25" s="2"/>
      <c r="AS25" s="2"/>
    </row>
    <row r="26" spans="1:45" ht="15.75" customHeight="1">
      <c r="A26" s="20"/>
      <c r="B26" s="215"/>
      <c r="C26" s="215"/>
      <c r="D26" s="215"/>
      <c r="E26" s="215"/>
      <c r="F26" s="215"/>
      <c r="G26" s="215"/>
      <c r="H26" s="215"/>
      <c r="I26" s="215"/>
      <c r="J26" s="215"/>
      <c r="K26" s="1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"/>
      <c r="AD26" s="222"/>
      <c r="AE26" s="97" t="s">
        <v>207</v>
      </c>
      <c r="AF26" s="98"/>
      <c r="AG26" s="98"/>
      <c r="AH26" s="99"/>
      <c r="AI26" s="102" t="str">
        <f>AR16&amp;IF(AND(N(AQ16)&lt;&gt;0,AQ31&lt;&gt;"")," ("&amp;AQ31&amp;")","")</f>
        <v>-</v>
      </c>
      <c r="AJ26" s="98"/>
      <c r="AK26" s="98"/>
      <c r="AL26" s="98"/>
      <c r="AM26" s="98"/>
      <c r="AN26" s="99"/>
      <c r="AO26" s="22"/>
      <c r="AP26" s="2" t="s">
        <v>100</v>
      </c>
      <c r="AR26" s="2"/>
      <c r="AS26" s="2"/>
    </row>
    <row r="27" spans="1:45" ht="15.75" customHeight="1">
      <c r="A27" s="20"/>
      <c r="B27" s="215"/>
      <c r="C27" s="215"/>
      <c r="D27" s="215"/>
      <c r="E27" s="215"/>
      <c r="F27" s="215"/>
      <c r="G27" s="215"/>
      <c r="H27" s="215"/>
      <c r="I27" s="215"/>
      <c r="J27" s="215"/>
      <c r="K27" s="10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"/>
      <c r="AD27" s="222"/>
      <c r="AE27" s="97" t="s">
        <v>60</v>
      </c>
      <c r="AF27" s="98"/>
      <c r="AG27" s="98"/>
      <c r="AH27" s="99"/>
      <c r="AI27" s="97" t="str">
        <f>IF($AQ$33&lt;&gt;"",$AQ$33&amp;"","-")</f>
        <v>-</v>
      </c>
      <c r="AJ27" s="98"/>
      <c r="AK27" s="98"/>
      <c r="AL27" s="98"/>
      <c r="AM27" s="98"/>
      <c r="AN27" s="99"/>
      <c r="AO27" s="22"/>
      <c r="AP27" s="2" t="s">
        <v>26</v>
      </c>
      <c r="AR27" s="2"/>
      <c r="AS27" s="2"/>
    </row>
    <row r="28" spans="1:45" ht="15.75" customHeight="1">
      <c r="A28" s="20"/>
      <c r="B28" s="195">
        <f>$AQ$55&amp;""</f>
      </c>
      <c r="C28" s="195"/>
      <c r="D28" s="195"/>
      <c r="E28" s="195"/>
      <c r="F28" s="195"/>
      <c r="G28" s="195"/>
      <c r="H28" s="195"/>
      <c r="I28" s="195"/>
      <c r="J28" s="195"/>
      <c r="K28" s="10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"/>
      <c r="AD28" s="223"/>
      <c r="AE28" s="216" t="s">
        <v>61</v>
      </c>
      <c r="AF28" s="217"/>
      <c r="AG28" s="217"/>
      <c r="AH28" s="218"/>
      <c r="AI28" s="230" t="str">
        <f>IF($AQ$36&lt;&gt;"",$AQ$36&amp;"","-")</f>
        <v>-</v>
      </c>
      <c r="AJ28" s="231"/>
      <c r="AK28" s="231"/>
      <c r="AL28" s="231"/>
      <c r="AM28" s="231"/>
      <c r="AN28" s="232"/>
      <c r="AO28" s="22"/>
      <c r="AP28" s="2" t="s">
        <v>27</v>
      </c>
      <c r="AR28" s="2"/>
      <c r="AS28" s="2"/>
    </row>
    <row r="29" spans="1:45" ht="15.75" customHeight="1">
      <c r="A29" s="20"/>
      <c r="B29" s="215"/>
      <c r="C29" s="215"/>
      <c r="D29" s="215"/>
      <c r="E29" s="215"/>
      <c r="F29" s="215"/>
      <c r="G29" s="215"/>
      <c r="H29" s="215"/>
      <c r="I29" s="215"/>
      <c r="J29" s="215"/>
      <c r="K29" s="10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"/>
      <c r="AD29" s="226" t="s">
        <v>12</v>
      </c>
      <c r="AE29" s="224">
        <f>IF($AQ$39&lt;&gt;"",$AQ$39&amp;CHAR(10),"")&amp;$AQ$57</f>
      </c>
      <c r="AF29" s="224"/>
      <c r="AG29" s="224"/>
      <c r="AH29" s="224"/>
      <c r="AI29" s="224"/>
      <c r="AJ29" s="224"/>
      <c r="AK29" s="224"/>
      <c r="AL29" s="224"/>
      <c r="AM29" s="224"/>
      <c r="AN29" s="224"/>
      <c r="AO29" s="22"/>
      <c r="AP29" s="2" t="s">
        <v>33</v>
      </c>
      <c r="AR29" s="2"/>
      <c r="AS29" s="2"/>
    </row>
    <row r="30" spans="1:45" ht="15.75" customHeight="1">
      <c r="A30" s="20"/>
      <c r="B30" s="215"/>
      <c r="C30" s="215"/>
      <c r="D30" s="215"/>
      <c r="E30" s="215"/>
      <c r="F30" s="215"/>
      <c r="G30" s="215"/>
      <c r="H30" s="215"/>
      <c r="I30" s="215"/>
      <c r="J30" s="215"/>
      <c r="K30" s="10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"/>
      <c r="AD30" s="226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"/>
      <c r="AP30" s="2" t="s">
        <v>34</v>
      </c>
      <c r="AR30" s="2"/>
      <c r="AS30" s="2"/>
    </row>
    <row r="31" spans="1:45" ht="15.75" customHeight="1">
      <c r="A31" s="20"/>
      <c r="B31" s="215"/>
      <c r="C31" s="215"/>
      <c r="D31" s="215"/>
      <c r="E31" s="215"/>
      <c r="F31" s="215"/>
      <c r="G31" s="215"/>
      <c r="H31" s="215"/>
      <c r="I31" s="215"/>
      <c r="J31" s="215"/>
      <c r="K31" s="10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"/>
      <c r="AD31" s="226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"/>
      <c r="AP31" s="2" t="s">
        <v>105</v>
      </c>
      <c r="AR31" s="254"/>
      <c r="AS31" s="254"/>
    </row>
    <row r="32" spans="1:45" ht="15.75" customHeight="1">
      <c r="A32" s="20"/>
      <c r="B32" s="215"/>
      <c r="C32" s="215"/>
      <c r="D32" s="215"/>
      <c r="E32" s="215"/>
      <c r="F32" s="215"/>
      <c r="G32" s="215"/>
      <c r="H32" s="215"/>
      <c r="I32" s="215"/>
      <c r="J32" s="215"/>
      <c r="K32" s="10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"/>
      <c r="AD32" s="226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"/>
      <c r="AP32" s="2" t="s">
        <v>188</v>
      </c>
      <c r="AR32" s="2"/>
      <c r="AS32" s="2"/>
    </row>
    <row r="33" spans="1:45" ht="15.75" customHeight="1">
      <c r="A33" s="20"/>
      <c r="B33" s="215"/>
      <c r="C33" s="215"/>
      <c r="D33" s="215"/>
      <c r="E33" s="215"/>
      <c r="F33" s="215"/>
      <c r="G33" s="215"/>
      <c r="H33" s="215"/>
      <c r="I33" s="215"/>
      <c r="J33" s="215"/>
      <c r="K33" s="10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"/>
      <c r="AD33" s="226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"/>
      <c r="AP33" s="2" t="s">
        <v>107</v>
      </c>
      <c r="AR33" s="2"/>
      <c r="AS33" s="2"/>
    </row>
    <row r="34" spans="1:45" ht="15.75" customHeight="1">
      <c r="A34" s="20"/>
      <c r="B34" s="215"/>
      <c r="C34" s="215"/>
      <c r="D34" s="215"/>
      <c r="E34" s="215"/>
      <c r="F34" s="215"/>
      <c r="G34" s="215"/>
      <c r="H34" s="215"/>
      <c r="I34" s="215"/>
      <c r="J34" s="215"/>
      <c r="K34" s="10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"/>
      <c r="AD34" s="226" t="s">
        <v>0</v>
      </c>
      <c r="AE34" s="225">
        <f>$AQ$40&amp;""</f>
      </c>
      <c r="AF34" s="225"/>
      <c r="AG34" s="225"/>
      <c r="AH34" s="225"/>
      <c r="AI34" s="225"/>
      <c r="AJ34" s="225"/>
      <c r="AK34" s="225"/>
      <c r="AL34" s="225"/>
      <c r="AM34" s="225"/>
      <c r="AN34" s="225"/>
      <c r="AO34" s="22"/>
      <c r="AP34" s="2" t="s">
        <v>200</v>
      </c>
      <c r="AR34" s="2"/>
      <c r="AS34" s="2"/>
    </row>
    <row r="35" spans="1:45" ht="15.75" customHeight="1">
      <c r="A35" s="20"/>
      <c r="B35" s="215"/>
      <c r="C35" s="215"/>
      <c r="D35" s="215"/>
      <c r="E35" s="215"/>
      <c r="F35" s="215"/>
      <c r="G35" s="215"/>
      <c r="H35" s="215"/>
      <c r="I35" s="215"/>
      <c r="J35" s="215"/>
      <c r="K35" s="10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"/>
      <c r="AD35" s="226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"/>
      <c r="AP35" s="2" t="s">
        <v>109</v>
      </c>
      <c r="AR35" s="255"/>
      <c r="AS35" s="256"/>
    </row>
    <row r="36" spans="1:45" ht="15.75" customHeight="1">
      <c r="A36" s="20"/>
      <c r="B36" s="215"/>
      <c r="C36" s="215"/>
      <c r="D36" s="215"/>
      <c r="E36" s="215"/>
      <c r="F36" s="215"/>
      <c r="G36" s="215"/>
      <c r="H36" s="215"/>
      <c r="I36" s="215"/>
      <c r="J36" s="215"/>
      <c r="K36" s="10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"/>
      <c r="AD36" s="226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"/>
      <c r="AP36" s="2" t="s">
        <v>134</v>
      </c>
      <c r="AQ36" s="11"/>
      <c r="AR36" s="13"/>
      <c r="AS36" s="14"/>
    </row>
    <row r="37" spans="1:45" ht="15.75" customHeight="1">
      <c r="A37" s="20"/>
      <c r="B37" s="215"/>
      <c r="C37" s="215"/>
      <c r="D37" s="215"/>
      <c r="E37" s="215"/>
      <c r="F37" s="215"/>
      <c r="G37" s="215"/>
      <c r="H37" s="215"/>
      <c r="I37" s="215"/>
      <c r="J37" s="215"/>
      <c r="K37" s="10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"/>
      <c r="AD37" s="226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"/>
      <c r="AP37" s="2" t="s">
        <v>139</v>
      </c>
      <c r="AR37" s="2"/>
      <c r="AS37" s="2"/>
    </row>
    <row r="38" spans="1:45" ht="15.75" customHeight="1">
      <c r="A38" s="20"/>
      <c r="B38" s="215"/>
      <c r="C38" s="215"/>
      <c r="D38" s="215"/>
      <c r="E38" s="215"/>
      <c r="F38" s="215"/>
      <c r="G38" s="215"/>
      <c r="H38" s="215"/>
      <c r="I38" s="215"/>
      <c r="J38" s="215"/>
      <c r="K38" s="10"/>
      <c r="L38" s="219">
        <f>$AQ$54&amp;""</f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10"/>
      <c r="AD38" s="226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"/>
      <c r="AP38" s="2" t="s">
        <v>140</v>
      </c>
      <c r="AR38" s="13"/>
      <c r="AS38" s="14"/>
    </row>
    <row r="39" spans="1:45" ht="15.75" customHeight="1">
      <c r="A39" s="20"/>
      <c r="B39" s="195">
        <f>$AQ$56&amp;""</f>
      </c>
      <c r="C39" s="195"/>
      <c r="D39" s="195"/>
      <c r="E39" s="195"/>
      <c r="F39" s="195"/>
      <c r="G39" s="195"/>
      <c r="H39" s="195"/>
      <c r="I39" s="195"/>
      <c r="J39" s="195"/>
      <c r="K39" s="1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10"/>
      <c r="AD39" s="128" t="s">
        <v>13</v>
      </c>
      <c r="AE39" s="129"/>
      <c r="AF39" s="129"/>
      <c r="AG39" s="129"/>
      <c r="AH39" s="143"/>
      <c r="AI39" s="97">
        <f>$AQ$43&amp;""</f>
      </c>
      <c r="AJ39" s="98"/>
      <c r="AK39" s="98"/>
      <c r="AL39" s="98"/>
      <c r="AM39" s="98"/>
      <c r="AN39" s="99"/>
      <c r="AO39" s="22"/>
      <c r="AP39" s="2" t="s">
        <v>112</v>
      </c>
      <c r="AR39" s="2"/>
      <c r="AS39" s="2"/>
    </row>
    <row r="40" spans="1:45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10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  <c r="AP40" s="2" t="s">
        <v>55</v>
      </c>
      <c r="AR40" s="2"/>
      <c r="AS40" s="2"/>
    </row>
    <row r="41" spans="1:45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 t="s">
        <v>50</v>
      </c>
      <c r="O41" s="9"/>
      <c r="P41" s="9"/>
      <c r="Q41" s="9"/>
      <c r="R41" s="9"/>
      <c r="S41" s="9"/>
      <c r="T41" s="9"/>
      <c r="U41" s="9"/>
      <c r="V41" s="9"/>
      <c r="W41" s="9" t="s">
        <v>56</v>
      </c>
      <c r="X41" s="9"/>
      <c r="Y41" s="9"/>
      <c r="Z41" s="9"/>
      <c r="AA41" s="9"/>
      <c r="AB41" s="42"/>
      <c r="AC41" s="42"/>
      <c r="AD41" s="43"/>
      <c r="AE41" s="42"/>
      <c r="AF41" s="9"/>
      <c r="AG41" s="9"/>
      <c r="AH41" s="9"/>
      <c r="AI41" s="9"/>
      <c r="AJ41" s="9"/>
      <c r="AK41" s="9"/>
      <c r="AL41" s="9"/>
      <c r="AM41" s="9"/>
      <c r="AN41" s="44"/>
      <c r="AO41" s="45" t="s">
        <v>74</v>
      </c>
      <c r="AP41" s="2"/>
      <c r="AR41" s="2"/>
      <c r="AS41" s="2"/>
    </row>
    <row r="42" spans="1:45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2" t="s">
        <v>117</v>
      </c>
      <c r="AR42" s="2"/>
      <c r="AS42" s="2"/>
    </row>
    <row r="43" spans="1:45" ht="15.75" customHeight="1">
      <c r="A43" s="20"/>
      <c r="B43" s="145">
        <f>$AQ$44&amp;""</f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>
        <f>IF($AQ$47&lt;&gt;"","TEL "&amp;$AQ$47,"")</f>
      </c>
      <c r="U43" s="150"/>
      <c r="V43" s="150"/>
      <c r="W43" s="150"/>
      <c r="X43" s="150"/>
      <c r="Y43" s="150"/>
      <c r="Z43" s="150"/>
      <c r="AA43" s="150"/>
      <c r="AB43" s="150"/>
      <c r="AC43" s="46"/>
      <c r="AD43" s="10"/>
      <c r="AE43" s="138" t="s">
        <v>42</v>
      </c>
      <c r="AF43" s="139"/>
      <c r="AG43" s="139"/>
      <c r="AH43" s="140"/>
      <c r="AI43" s="141">
        <f>$AQ$52&amp;""</f>
      </c>
      <c r="AJ43" s="142"/>
      <c r="AK43" s="142"/>
      <c r="AL43" s="49">
        <f>$AQ$53&amp;""</f>
      </c>
      <c r="AM43" s="49"/>
      <c r="AN43" s="66"/>
      <c r="AO43" s="22"/>
      <c r="AP43" s="2" t="s">
        <v>113</v>
      </c>
      <c r="AR43" s="2"/>
      <c r="AS43" s="2"/>
    </row>
    <row r="44" spans="1:45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10"/>
      <c r="AE44" s="138" t="s">
        <v>43</v>
      </c>
      <c r="AF44" s="146"/>
      <c r="AG44" s="146"/>
      <c r="AH44" s="147"/>
      <c r="AI44" s="50" t="s">
        <v>44</v>
      </c>
      <c r="AJ44" s="133" t="str">
        <f>IF(ISNUMBER(AQ37),(100-AQ37)&amp;"%",$AM$44)</f>
        <v>-</v>
      </c>
      <c r="AK44" s="134"/>
      <c r="AL44" s="51" t="s">
        <v>45</v>
      </c>
      <c r="AM44" s="133" t="str">
        <f>IF(ISNUMBER($AQ$37),$AQ$37&amp;"%",IF($AQ$37&lt;&gt;"",$AQ$37&amp;"","-"))</f>
        <v>-</v>
      </c>
      <c r="AN44" s="134"/>
      <c r="AO44" s="22"/>
      <c r="AP44" s="2" t="s">
        <v>114</v>
      </c>
      <c r="AR44" s="2"/>
      <c r="AS44" s="2"/>
    </row>
    <row r="45" spans="1:42" ht="18.75" customHeight="1">
      <c r="A45" s="20"/>
      <c r="B45" s="52"/>
      <c r="C45" s="152">
        <f>$AQ$45&amp;""</f>
      </c>
      <c r="D45" s="152"/>
      <c r="E45" s="152"/>
      <c r="F45" s="152">
        <f>$AQ$46&amp;""</f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0"/>
      <c r="T45" s="149">
        <f>IF($AQ$48&lt;&gt;"","FAX  "&amp;$AQ$48,"")</f>
      </c>
      <c r="U45" s="149"/>
      <c r="V45" s="149"/>
      <c r="W45" s="149"/>
      <c r="X45" s="149"/>
      <c r="Y45" s="149"/>
      <c r="Z45" s="149"/>
      <c r="AA45" s="149"/>
      <c r="AB45" s="149"/>
      <c r="AC45" s="10"/>
      <c r="AD45" s="10"/>
      <c r="AE45" s="138" t="s">
        <v>46</v>
      </c>
      <c r="AF45" s="139"/>
      <c r="AG45" s="139"/>
      <c r="AH45" s="140"/>
      <c r="AI45" s="50" t="s">
        <v>47</v>
      </c>
      <c r="AJ45" s="133" t="str">
        <f>IF(ISNUMBER(AQ38),(100-AQ38)&amp;"%",$AM$45)</f>
        <v>-</v>
      </c>
      <c r="AK45" s="134"/>
      <c r="AL45" s="51" t="s">
        <v>48</v>
      </c>
      <c r="AM45" s="133" t="str">
        <f>IF(ISNUMBER($AQ$38),$AQ$38&amp;"%",IF($AQ$38&lt;&gt;"",$AQ$38&amp;"","-"))</f>
        <v>-</v>
      </c>
      <c r="AN45" s="134"/>
      <c r="AO45" s="22"/>
      <c r="AP45" s="1" t="s">
        <v>118</v>
      </c>
    </row>
    <row r="46" spans="1:42" ht="7.5" customHeight="1">
      <c r="A46" s="20"/>
      <c r="B46" s="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31"/>
      <c r="AF46" s="31"/>
      <c r="AG46" s="31"/>
      <c r="AH46" s="31"/>
      <c r="AI46" s="31"/>
      <c r="AJ46" s="31"/>
      <c r="AK46" s="53"/>
      <c r="AL46" s="31"/>
      <c r="AM46" s="31"/>
      <c r="AN46" s="53"/>
      <c r="AO46" s="22"/>
      <c r="AP46" s="1" t="s">
        <v>115</v>
      </c>
    </row>
    <row r="47" spans="1:42" ht="18.75" customHeight="1" thickBot="1">
      <c r="A47" s="36"/>
      <c r="B47" s="54"/>
      <c r="C47" s="144">
        <f>$AQ$49&amp;""</f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37"/>
      <c r="T47" s="148">
        <f>$AQ$50&amp;""</f>
      </c>
      <c r="U47" s="148"/>
      <c r="V47" s="148"/>
      <c r="W47" s="148"/>
      <c r="X47" s="148"/>
      <c r="Y47" s="148"/>
      <c r="Z47" s="148"/>
      <c r="AA47" s="148"/>
      <c r="AB47" s="37"/>
      <c r="AC47" s="37"/>
      <c r="AD47" s="37"/>
      <c r="AE47" s="151" t="s">
        <v>49</v>
      </c>
      <c r="AF47" s="151"/>
      <c r="AG47" s="151"/>
      <c r="AH47" s="151"/>
      <c r="AI47" s="132">
        <f>TEXT($AQ$51,"YYYY年MM月DD日;;")</f>
      </c>
      <c r="AJ47" s="132"/>
      <c r="AK47" s="132"/>
      <c r="AL47" s="132"/>
      <c r="AM47" s="132"/>
      <c r="AN47" s="132"/>
      <c r="AO47" s="40"/>
      <c r="AP47" s="1" t="s">
        <v>119</v>
      </c>
    </row>
    <row r="48" spans="1:42" ht="14.25">
      <c r="A48" s="2"/>
      <c r="B48" s="2"/>
      <c r="AP48" s="1" t="s">
        <v>120</v>
      </c>
    </row>
    <row r="49" ht="14.25">
      <c r="AP49" s="1" t="s">
        <v>121</v>
      </c>
    </row>
    <row r="50" ht="14.25">
      <c r="AP50" s="1" t="s">
        <v>124</v>
      </c>
    </row>
    <row r="51" ht="14.25">
      <c r="AP51" s="1" t="s">
        <v>116</v>
      </c>
    </row>
    <row r="52" ht="14.25">
      <c r="AP52" s="1" t="s">
        <v>154</v>
      </c>
    </row>
    <row r="53" ht="14.25">
      <c r="AP53" s="1" t="s">
        <v>171</v>
      </c>
    </row>
    <row r="54" ht="14.25">
      <c r="AP54" s="1" t="s">
        <v>144</v>
      </c>
    </row>
    <row r="55" ht="14.25">
      <c r="AP55" s="1" t="s">
        <v>145</v>
      </c>
    </row>
    <row r="56" ht="14.25">
      <c r="AP56" s="1" t="s">
        <v>196</v>
      </c>
    </row>
    <row r="57" ht="14.25">
      <c r="AP57" s="1" t="s">
        <v>172</v>
      </c>
    </row>
  </sheetData>
  <sheetProtection/>
  <mergeCells count="84">
    <mergeCell ref="AI11:AN11"/>
    <mergeCell ref="AI19:AN19"/>
    <mergeCell ref="AM23:AN23"/>
    <mergeCell ref="AI23:AL23"/>
    <mergeCell ref="AI20:AN20"/>
    <mergeCell ref="AI21:AN21"/>
    <mergeCell ref="AI22:AN22"/>
    <mergeCell ref="AI17:AN17"/>
    <mergeCell ref="AJ45:AK45"/>
    <mergeCell ref="AE16:AH16"/>
    <mergeCell ref="AE21:AH21"/>
    <mergeCell ref="AR31:AS31"/>
    <mergeCell ref="AR35:AS35"/>
    <mergeCell ref="AI28:AN28"/>
    <mergeCell ref="AI25:AN25"/>
    <mergeCell ref="AE26:AH26"/>
    <mergeCell ref="AE23:AH23"/>
    <mergeCell ref="AI24:AN24"/>
    <mergeCell ref="AF5:AK6"/>
    <mergeCell ref="AL5:AN6"/>
    <mergeCell ref="AD2:AI4"/>
    <mergeCell ref="AE47:AH47"/>
    <mergeCell ref="AI47:AN47"/>
    <mergeCell ref="AM44:AN44"/>
    <mergeCell ref="AI9:AN9"/>
    <mergeCell ref="AE45:AH45"/>
    <mergeCell ref="AM45:AN45"/>
    <mergeCell ref="AJ44:AK44"/>
    <mergeCell ref="B2:J6"/>
    <mergeCell ref="S2:S6"/>
    <mergeCell ref="T2:AB6"/>
    <mergeCell ref="L2:R6"/>
    <mergeCell ref="C47:R47"/>
    <mergeCell ref="C45:E45"/>
    <mergeCell ref="F45:R45"/>
    <mergeCell ref="T45:AB45"/>
    <mergeCell ref="T47:AA47"/>
    <mergeCell ref="B8:J16"/>
    <mergeCell ref="AJ2:AN4"/>
    <mergeCell ref="AE15:AH15"/>
    <mergeCell ref="AI16:AK16"/>
    <mergeCell ref="AL16:AN16"/>
    <mergeCell ref="AE7:AN7"/>
    <mergeCell ref="AI15:AN15"/>
    <mergeCell ref="AL10:AN10"/>
    <mergeCell ref="AE9:AH9"/>
    <mergeCell ref="AE10:AH10"/>
    <mergeCell ref="AD5:AE6"/>
    <mergeCell ref="AI10:AK10"/>
    <mergeCell ref="AE20:AH20"/>
    <mergeCell ref="AI12:AN12"/>
    <mergeCell ref="AI13:AN13"/>
    <mergeCell ref="AI14:AN14"/>
    <mergeCell ref="AE17:AH17"/>
    <mergeCell ref="AI18:AN18"/>
    <mergeCell ref="AE19:AH19"/>
    <mergeCell ref="AE18:AH18"/>
    <mergeCell ref="AE11:AH11"/>
    <mergeCell ref="AE43:AH43"/>
    <mergeCell ref="AI26:AN26"/>
    <mergeCell ref="AD39:AH39"/>
    <mergeCell ref="AE22:AH22"/>
    <mergeCell ref="AD23:AD28"/>
    <mergeCell ref="AI27:AN27"/>
    <mergeCell ref="AE27:AH27"/>
    <mergeCell ref="B43:S44"/>
    <mergeCell ref="B39:J39"/>
    <mergeCell ref="T43:AB44"/>
    <mergeCell ref="AE29:AN33"/>
    <mergeCell ref="AE34:AN38"/>
    <mergeCell ref="AD29:AD33"/>
    <mergeCell ref="AD34:AD38"/>
    <mergeCell ref="AI43:AK43"/>
    <mergeCell ref="AI39:AN39"/>
    <mergeCell ref="AE44:AH44"/>
    <mergeCell ref="B18:J27"/>
    <mergeCell ref="L8:AB37"/>
    <mergeCell ref="B28:J28"/>
    <mergeCell ref="AE28:AH28"/>
    <mergeCell ref="L38:AB39"/>
    <mergeCell ref="B29:J38"/>
    <mergeCell ref="AD9:AD22"/>
    <mergeCell ref="AE24:AH24"/>
    <mergeCell ref="AE25:AH25"/>
  </mergeCells>
  <printOptions horizontalCentered="1"/>
  <pageMargins left="0.3937007874015748" right="0.3937007874015748" top="0.35433070866141736" bottom="0.2362204724409449" header="0.1968503937007874" footer="0.1968503937007874"/>
  <pageSetup horizontalDpi="600" verticalDpi="600" orientation="landscape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view="pageBreakPreview" zoomScale="75" zoomScaleNormal="50" zoomScaleSheetLayoutView="75" zoomScalePageLayoutView="0" workbookViewId="0" topLeftCell="A1">
      <selection activeCell="O46" sqref="O46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1.875" style="1" customWidth="1"/>
    <col min="42" max="42" width="13.75390625" style="1" hidden="1" customWidth="1"/>
    <col min="43" max="43" width="11.625" style="1" hidden="1" customWidth="1"/>
    <col min="44" max="44" width="7.50390625" style="1" hidden="1" customWidth="1"/>
    <col min="45" max="45" width="4.50390625" style="1" hidden="1" customWidth="1"/>
    <col min="46" max="49" width="6.50390625" style="1" hidden="1" customWidth="1"/>
    <col min="50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1" ht="14.25" customHeight="1">
      <c r="A2" s="20"/>
      <c r="B2" s="153">
        <f>IF($AQ$11&lt;&gt;"","賃貸"&amp;$AQ$11,"")</f>
      </c>
      <c r="C2" s="154"/>
      <c r="D2" s="154"/>
      <c r="E2" s="154"/>
      <c r="F2" s="154"/>
      <c r="G2" s="154"/>
      <c r="H2" s="154"/>
      <c r="I2" s="154"/>
      <c r="J2" s="154"/>
      <c r="K2" s="55"/>
      <c r="L2" s="162" t="s">
        <v>62</v>
      </c>
      <c r="M2" s="278" t="str">
        <f>TEXT(N($AQ$13),"#,###,###円;;-")</f>
        <v>-</v>
      </c>
      <c r="N2" s="279"/>
      <c r="O2" s="279"/>
      <c r="P2" s="279"/>
      <c r="Q2" s="279"/>
      <c r="R2" s="279"/>
      <c r="S2" s="279"/>
      <c r="T2" s="279"/>
      <c r="U2" s="279"/>
      <c r="V2" s="279"/>
      <c r="W2" s="67"/>
      <c r="X2" s="67"/>
      <c r="Y2" s="67"/>
      <c r="Z2" s="67"/>
      <c r="AA2" s="67"/>
      <c r="AB2" s="67"/>
      <c r="AC2" s="56"/>
      <c r="AD2" s="178">
        <f>$AQ$6&amp;""</f>
      </c>
      <c r="AE2" s="179"/>
      <c r="AF2" s="179"/>
      <c r="AG2" s="179"/>
      <c r="AH2" s="179"/>
      <c r="AI2" s="179"/>
      <c r="AJ2" s="184">
        <f>$AQ$7&amp;""</f>
      </c>
      <c r="AK2" s="184"/>
      <c r="AL2" s="184"/>
      <c r="AM2" s="184"/>
      <c r="AN2" s="185"/>
      <c r="AO2" s="22"/>
    </row>
    <row r="3" spans="1:41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56"/>
      <c r="K3" s="55"/>
      <c r="L3" s="163"/>
      <c r="M3" s="280"/>
      <c r="N3" s="279"/>
      <c r="O3" s="279"/>
      <c r="P3" s="279"/>
      <c r="Q3" s="279"/>
      <c r="R3" s="279"/>
      <c r="S3" s="279"/>
      <c r="T3" s="279"/>
      <c r="U3" s="279"/>
      <c r="V3" s="279"/>
      <c r="W3" s="67"/>
      <c r="X3" s="67"/>
      <c r="Y3" s="67"/>
      <c r="Z3" s="67"/>
      <c r="AA3" s="67"/>
      <c r="AB3" s="67"/>
      <c r="AC3" s="56"/>
      <c r="AD3" s="180"/>
      <c r="AE3" s="181"/>
      <c r="AF3" s="181"/>
      <c r="AG3" s="181"/>
      <c r="AH3" s="181"/>
      <c r="AI3" s="181"/>
      <c r="AJ3" s="186"/>
      <c r="AK3" s="186"/>
      <c r="AL3" s="186"/>
      <c r="AM3" s="186"/>
      <c r="AN3" s="187"/>
      <c r="AO3" s="22"/>
    </row>
    <row r="4" spans="1:41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56"/>
      <c r="K4" s="55"/>
      <c r="L4" s="163"/>
      <c r="M4" s="280"/>
      <c r="N4" s="279"/>
      <c r="O4" s="279"/>
      <c r="P4" s="279"/>
      <c r="Q4" s="279"/>
      <c r="R4" s="279"/>
      <c r="S4" s="279"/>
      <c r="T4" s="279"/>
      <c r="U4" s="279"/>
      <c r="V4" s="279"/>
      <c r="W4" s="67"/>
      <c r="X4" s="67"/>
      <c r="Y4" s="67"/>
      <c r="Z4" s="67"/>
      <c r="AA4" s="67"/>
      <c r="AB4" s="67"/>
      <c r="AC4" s="56"/>
      <c r="AD4" s="180"/>
      <c r="AE4" s="181"/>
      <c r="AF4" s="181"/>
      <c r="AG4" s="181"/>
      <c r="AH4" s="181"/>
      <c r="AI4" s="181"/>
      <c r="AJ4" s="186"/>
      <c r="AK4" s="186"/>
      <c r="AL4" s="186"/>
      <c r="AM4" s="186"/>
      <c r="AN4" s="187"/>
      <c r="AO4" s="22"/>
    </row>
    <row r="5" spans="1:41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56"/>
      <c r="K5" s="55"/>
      <c r="L5" s="163"/>
      <c r="M5" s="280"/>
      <c r="N5" s="279"/>
      <c r="O5" s="279"/>
      <c r="P5" s="279"/>
      <c r="Q5" s="279"/>
      <c r="R5" s="279"/>
      <c r="S5" s="279"/>
      <c r="T5" s="279"/>
      <c r="U5" s="279"/>
      <c r="V5" s="279"/>
      <c r="W5" s="67"/>
      <c r="X5" s="67"/>
      <c r="Y5" s="67"/>
      <c r="Z5" s="67"/>
      <c r="AA5" s="67"/>
      <c r="AB5" s="67"/>
      <c r="AC5" s="56"/>
      <c r="AD5" s="165">
        <f>TEXT(N($AQ$8),"バス#分;;")</f>
      </c>
      <c r="AE5" s="166"/>
      <c r="AF5" s="166">
        <f>IF($AQ$9&lt;&gt;"",$AQ$9&amp;"下車","")</f>
      </c>
      <c r="AG5" s="182"/>
      <c r="AH5" s="182"/>
      <c r="AI5" s="182"/>
      <c r="AJ5" s="182"/>
      <c r="AK5" s="182"/>
      <c r="AL5" s="166">
        <f>TEXT(ROUNDUP(N($AQ$10)/80,0),"徒歩#分;;")</f>
      </c>
      <c r="AM5" s="166"/>
      <c r="AN5" s="188"/>
      <c r="AO5" s="22"/>
    </row>
    <row r="6" spans="1:43" ht="11.25" customHeight="1">
      <c r="A6" s="20" t="s">
        <v>75</v>
      </c>
      <c r="B6" s="157"/>
      <c r="C6" s="158"/>
      <c r="D6" s="158"/>
      <c r="E6" s="158"/>
      <c r="F6" s="158"/>
      <c r="G6" s="158"/>
      <c r="H6" s="158"/>
      <c r="I6" s="158"/>
      <c r="J6" s="158"/>
      <c r="K6" s="55"/>
      <c r="L6" s="164"/>
      <c r="M6" s="280"/>
      <c r="N6" s="279"/>
      <c r="O6" s="279"/>
      <c r="P6" s="279"/>
      <c r="Q6" s="279"/>
      <c r="R6" s="279"/>
      <c r="S6" s="279"/>
      <c r="T6" s="279"/>
      <c r="U6" s="279"/>
      <c r="V6" s="279"/>
      <c r="W6" s="67"/>
      <c r="X6" s="67"/>
      <c r="Y6" s="67"/>
      <c r="Z6" s="67"/>
      <c r="AA6" s="67"/>
      <c r="AB6" s="67"/>
      <c r="AC6" s="56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P6" s="2" t="s">
        <v>99</v>
      </c>
      <c r="AQ6" s="2"/>
    </row>
    <row r="7" spans="1:43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57"/>
      <c r="U7" s="58"/>
      <c r="V7" s="58"/>
      <c r="W7" s="58"/>
      <c r="X7" s="58"/>
      <c r="Y7" s="58"/>
      <c r="Z7" s="57"/>
      <c r="AA7" s="58"/>
      <c r="AB7" s="58"/>
      <c r="AC7" s="58"/>
      <c r="AD7" s="59" t="s">
        <v>1</v>
      </c>
      <c r="AE7" s="239">
        <f>$AQ$12&amp;""</f>
      </c>
      <c r="AF7" s="240"/>
      <c r="AG7" s="240"/>
      <c r="AH7" s="240"/>
      <c r="AI7" s="240"/>
      <c r="AJ7" s="240"/>
      <c r="AK7" s="240"/>
      <c r="AL7" s="240"/>
      <c r="AM7" s="240"/>
      <c r="AN7" s="241"/>
      <c r="AO7" s="22"/>
      <c r="AP7" s="2" t="s">
        <v>100</v>
      </c>
      <c r="AQ7" s="2"/>
    </row>
    <row r="8" spans="1:43" ht="25.5" customHeight="1">
      <c r="A8" s="20"/>
      <c r="B8" s="198">
        <f>$AQ$24&amp;""</f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58"/>
      <c r="AD8" s="61"/>
      <c r="AE8" s="62"/>
      <c r="AF8" s="10"/>
      <c r="AG8" s="10"/>
      <c r="AH8" s="10"/>
      <c r="AI8" s="10"/>
      <c r="AJ8" s="10"/>
      <c r="AK8" s="10"/>
      <c r="AL8" s="10"/>
      <c r="AM8" s="10"/>
      <c r="AN8" s="10"/>
      <c r="AO8" s="22"/>
      <c r="AP8" s="1" t="s">
        <v>78</v>
      </c>
      <c r="AQ8" s="2"/>
    </row>
    <row r="9" spans="1:43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0"/>
      <c r="AD9" s="271" t="s">
        <v>58</v>
      </c>
      <c r="AE9" s="274" t="s">
        <v>76</v>
      </c>
      <c r="AF9" s="275"/>
      <c r="AG9" s="275"/>
      <c r="AH9" s="276"/>
      <c r="AI9" s="97" t="str">
        <f>IF($M$2="","-",$M$2&amp;"")</f>
        <v>-</v>
      </c>
      <c r="AJ9" s="98"/>
      <c r="AK9" s="98"/>
      <c r="AL9" s="98"/>
      <c r="AM9" s="98"/>
      <c r="AN9" s="99"/>
      <c r="AO9" s="22"/>
      <c r="AP9" s="1" t="s">
        <v>79</v>
      </c>
      <c r="AQ9" s="2"/>
    </row>
    <row r="10" spans="1:43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0"/>
      <c r="AD10" s="272"/>
      <c r="AE10" s="274" t="s">
        <v>187</v>
      </c>
      <c r="AF10" s="275"/>
      <c r="AG10" s="275"/>
      <c r="AH10" s="276"/>
      <c r="AI10" s="97" t="str">
        <f>IF(AND(AQ14&lt;&gt;"",AQ15&lt;&gt;""),TEXT(N(AS14)+N(AS15),"#,###,###円;;-"),IF(AQ14&lt;&gt;"",AR14,IF(AQ15&lt;&gt;"",AR15,"-")))</f>
        <v>-</v>
      </c>
      <c r="AJ10" s="98"/>
      <c r="AK10" s="98"/>
      <c r="AL10" s="98"/>
      <c r="AM10" s="98"/>
      <c r="AN10" s="99"/>
      <c r="AO10" s="22"/>
      <c r="AP10" s="1" t="s">
        <v>80</v>
      </c>
      <c r="AQ10" s="2"/>
    </row>
    <row r="11" spans="1:43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0"/>
      <c r="AD11" s="272"/>
      <c r="AE11" s="274" t="s">
        <v>209</v>
      </c>
      <c r="AF11" s="275"/>
      <c r="AG11" s="275"/>
      <c r="AH11" s="276"/>
      <c r="AI11" s="97" t="str">
        <f>$AR$16&amp;""</f>
        <v>-</v>
      </c>
      <c r="AJ11" s="98"/>
      <c r="AK11" s="98"/>
      <c r="AL11" s="98"/>
      <c r="AM11" s="98"/>
      <c r="AN11" s="99"/>
      <c r="AO11" s="22"/>
      <c r="AP11" s="2" t="s">
        <v>97</v>
      </c>
      <c r="AQ11" s="2"/>
    </row>
    <row r="12" spans="1:43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0"/>
      <c r="AD12" s="272"/>
      <c r="AE12" s="274" t="s">
        <v>208</v>
      </c>
      <c r="AF12" s="275"/>
      <c r="AG12" s="275"/>
      <c r="AH12" s="276"/>
      <c r="AI12" s="97" t="str">
        <f>AR17&amp;IF(AND(N(AQ17)&lt;&gt;0,AQ18&lt;&gt;"")," ("&amp;AQ18&amp;")","")</f>
        <v>-</v>
      </c>
      <c r="AJ12" s="98"/>
      <c r="AK12" s="98"/>
      <c r="AL12" s="98"/>
      <c r="AM12" s="98"/>
      <c r="AN12" s="99"/>
      <c r="AO12" s="22"/>
      <c r="AP12" s="2" t="s">
        <v>101</v>
      </c>
      <c r="AQ12" s="2"/>
    </row>
    <row r="13" spans="1:43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0"/>
      <c r="AD13" s="272"/>
      <c r="AE13" s="274" t="s">
        <v>77</v>
      </c>
      <c r="AF13" s="275"/>
      <c r="AG13" s="275"/>
      <c r="AH13" s="276"/>
      <c r="AI13" s="97" t="str">
        <f>$AR$19&amp;""</f>
        <v>-</v>
      </c>
      <c r="AJ13" s="98"/>
      <c r="AK13" s="98"/>
      <c r="AL13" s="98"/>
      <c r="AM13" s="98"/>
      <c r="AN13" s="99"/>
      <c r="AO13" s="22"/>
      <c r="AP13" s="1" t="s">
        <v>62</v>
      </c>
      <c r="AQ13" s="2"/>
    </row>
    <row r="14" spans="1:45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0"/>
      <c r="AD14" s="272"/>
      <c r="AE14" s="274" t="s">
        <v>60</v>
      </c>
      <c r="AF14" s="275"/>
      <c r="AG14" s="275"/>
      <c r="AH14" s="276"/>
      <c r="AI14" s="97" t="str">
        <f>IF($AQ$20&lt;&gt;"",$AQ$20&amp;"","-")</f>
        <v>-</v>
      </c>
      <c r="AJ14" s="98"/>
      <c r="AK14" s="98"/>
      <c r="AL14" s="98"/>
      <c r="AM14" s="98"/>
      <c r="AN14" s="99"/>
      <c r="AO14" s="22"/>
      <c r="AP14" s="1" t="s">
        <v>87</v>
      </c>
      <c r="AQ14" s="2"/>
      <c r="AR14" s="6" t="str">
        <f>IF(N(AQ14)&gt;0,IF(N(AQ14)&lt;100,$AQ14&amp;"ヶ月",TEXT(N(AQ14),"#,###,###円;;")),"-")</f>
        <v>-</v>
      </c>
      <c r="AS14" s="8" t="str">
        <f>IF(N(AQ14)=0,"-",IF(AQ14&lt;100,N(AQ14)*N(AQ13),N(AQ14)))</f>
        <v>-</v>
      </c>
    </row>
    <row r="15" spans="1:45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0"/>
      <c r="AD15" s="273"/>
      <c r="AE15" s="274" t="s">
        <v>61</v>
      </c>
      <c r="AF15" s="275"/>
      <c r="AG15" s="275"/>
      <c r="AH15" s="276"/>
      <c r="AI15" s="97" t="str">
        <f>IF($AQ$22&lt;&gt;"",$AQ$22&amp;"","-")</f>
        <v>-</v>
      </c>
      <c r="AJ15" s="98"/>
      <c r="AK15" s="98"/>
      <c r="AL15" s="98"/>
      <c r="AM15" s="98"/>
      <c r="AN15" s="99"/>
      <c r="AO15" s="22"/>
      <c r="AP15" s="1" t="s">
        <v>88</v>
      </c>
      <c r="AQ15" s="2"/>
      <c r="AR15" s="6" t="str">
        <f>IF(N(AQ15)&gt;0,IF(N(AQ15)&lt;100,$AQ15&amp;"ヶ月",TEXT(N(AQ15),"#,###,###円;;")),"-")</f>
        <v>-</v>
      </c>
      <c r="AS15" s="8" t="str">
        <f>IF(N(AQ15)=0,"-",IF(AQ15&lt;100,N(AQ15)*N(AQ13),N(AQ15)))</f>
        <v>-</v>
      </c>
    </row>
    <row r="16" spans="1:44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0"/>
      <c r="AD16" s="120" t="s">
        <v>0</v>
      </c>
      <c r="AE16" s="263">
        <f>$AQ$23&amp;""</f>
      </c>
      <c r="AF16" s="264"/>
      <c r="AG16" s="264"/>
      <c r="AH16" s="264"/>
      <c r="AI16" s="264"/>
      <c r="AJ16" s="264"/>
      <c r="AK16" s="264"/>
      <c r="AL16" s="264"/>
      <c r="AM16" s="264"/>
      <c r="AN16" s="265"/>
      <c r="AO16" s="22"/>
      <c r="AP16" s="1" t="s">
        <v>89</v>
      </c>
      <c r="AQ16" s="2"/>
      <c r="AR16" s="6" t="str">
        <f>IF(N(AQ16)&gt;0,IF(N(AQ16)&lt;100,$AQ16&amp;"ヶ月",TEXT(N(AQ16),"#,###,###円;;")),"-")</f>
        <v>-</v>
      </c>
    </row>
    <row r="17" spans="1:44" ht="15.75" customHeight="1">
      <c r="A17" s="2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0"/>
      <c r="AD17" s="121"/>
      <c r="AE17" s="266"/>
      <c r="AF17" s="219"/>
      <c r="AG17" s="219"/>
      <c r="AH17" s="219"/>
      <c r="AI17" s="219"/>
      <c r="AJ17" s="219"/>
      <c r="AK17" s="219"/>
      <c r="AL17" s="219"/>
      <c r="AM17" s="219"/>
      <c r="AN17" s="267"/>
      <c r="AO17" s="22"/>
      <c r="AP17" s="1" t="s">
        <v>91</v>
      </c>
      <c r="AQ17" s="2"/>
      <c r="AR17" s="6" t="str">
        <f>IF(N(AQ17)=0,"-",IF(N(AQ17)&lt;100,AQ17&amp;"ヶ月",IF(N(AQ17)=100,"実費",IF(N(AQ17)&lt;=200,TEXT(N(AQ17)-100,"#""%"""),TEXT(N(AQ17),"#,###,###円")))))</f>
        <v>-</v>
      </c>
    </row>
    <row r="18" spans="1:43" ht="15.75" customHeight="1">
      <c r="A18" s="20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0"/>
      <c r="AD18" s="122"/>
      <c r="AE18" s="268"/>
      <c r="AF18" s="269"/>
      <c r="AG18" s="269"/>
      <c r="AH18" s="269"/>
      <c r="AI18" s="269"/>
      <c r="AJ18" s="269"/>
      <c r="AK18" s="269"/>
      <c r="AL18" s="269"/>
      <c r="AM18" s="269"/>
      <c r="AN18" s="270"/>
      <c r="AO18" s="22"/>
      <c r="AP18" s="2" t="s">
        <v>105</v>
      </c>
      <c r="AQ18" s="2"/>
    </row>
    <row r="19" spans="1:44" ht="15.75" customHeight="1">
      <c r="A19" s="20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0"/>
      <c r="AD19" s="125" t="s">
        <v>13</v>
      </c>
      <c r="AE19" s="126"/>
      <c r="AF19" s="126"/>
      <c r="AG19" s="126"/>
      <c r="AH19" s="127"/>
      <c r="AI19" s="97">
        <f>$AQ$25&amp;""</f>
      </c>
      <c r="AJ19" s="98"/>
      <c r="AK19" s="98"/>
      <c r="AL19" s="98"/>
      <c r="AM19" s="98"/>
      <c r="AN19" s="99"/>
      <c r="AO19" s="22"/>
      <c r="AP19" s="1" t="s">
        <v>77</v>
      </c>
      <c r="AQ19" s="2"/>
      <c r="AR19" s="1" t="str">
        <f>IF(N(AQ19)=0,"-",IF(AQ19&lt;=1000,TEXT(AQ19,"#""%"";;-"),IF(AQ19=1001,"3%+6万円",TEXT(AQ19,"#,###,###円;;-"))))</f>
        <v>-</v>
      </c>
    </row>
    <row r="20" spans="1:43" ht="15.75" customHeight="1">
      <c r="A20" s="20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0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22"/>
      <c r="AP20" s="2" t="s">
        <v>107</v>
      </c>
      <c r="AQ20" s="2"/>
    </row>
    <row r="21" spans="1:43" ht="15.75" customHeight="1">
      <c r="A21" s="20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0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2"/>
      <c r="AP21" s="2"/>
      <c r="AQ21" s="2"/>
    </row>
    <row r="22" spans="1:43" ht="15.75" customHeight="1">
      <c r="A22" s="20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0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2"/>
      <c r="AP22" s="2" t="s">
        <v>134</v>
      </c>
      <c r="AQ22" s="12"/>
    </row>
    <row r="23" spans="1:43" ht="15.75" customHeight="1">
      <c r="A23" s="20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0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2"/>
      <c r="AP23" s="2" t="s">
        <v>55</v>
      </c>
      <c r="AQ23" s="2"/>
    </row>
    <row r="24" spans="1:43" ht="15.75" customHeight="1">
      <c r="A24" s="20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0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2"/>
      <c r="AP24" s="2" t="s">
        <v>117</v>
      </c>
      <c r="AQ24" s="2"/>
    </row>
    <row r="25" spans="1:43" ht="15.75" customHeight="1">
      <c r="A25" s="20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0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2"/>
      <c r="AP25" s="2" t="s">
        <v>113</v>
      </c>
      <c r="AQ25" s="2"/>
    </row>
    <row r="26" spans="1:43" ht="15.75" customHeight="1">
      <c r="A26" s="20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0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2"/>
      <c r="AP26" s="2" t="s">
        <v>114</v>
      </c>
      <c r="AQ26" s="2"/>
    </row>
    <row r="27" spans="1:43" ht="15.75" customHeight="1">
      <c r="A27" s="20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0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2"/>
      <c r="AP27" s="1" t="s">
        <v>118</v>
      </c>
      <c r="AQ27" s="2"/>
    </row>
    <row r="28" spans="1:43" ht="15.75" customHeight="1">
      <c r="A28" s="20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0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2"/>
      <c r="AP28" s="1" t="s">
        <v>115</v>
      </c>
      <c r="AQ28" s="2"/>
    </row>
    <row r="29" spans="1:43" ht="15.75" customHeight="1">
      <c r="A29" s="20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0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2"/>
      <c r="AP29" s="1" t="s">
        <v>119</v>
      </c>
      <c r="AQ29" s="2"/>
    </row>
    <row r="30" spans="1:43" ht="15.75" customHeight="1">
      <c r="A30" s="20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0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2"/>
      <c r="AP30" s="1" t="s">
        <v>120</v>
      </c>
      <c r="AQ30" s="2"/>
    </row>
    <row r="31" spans="1:43" ht="15.75" customHeight="1">
      <c r="A31" s="20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0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2"/>
      <c r="AP31" s="1" t="s">
        <v>121</v>
      </c>
      <c r="AQ31" s="2"/>
    </row>
    <row r="32" spans="1:43" ht="15.75" customHeight="1">
      <c r="A32" s="20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0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2"/>
      <c r="AP32" s="1" t="s">
        <v>124</v>
      </c>
      <c r="AQ32" s="2"/>
    </row>
    <row r="33" spans="1:43" ht="15.75" customHeight="1">
      <c r="A33" s="20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0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2"/>
      <c r="AP33" s="1" t="s">
        <v>116</v>
      </c>
      <c r="AQ33" s="2"/>
    </row>
    <row r="34" spans="1:43" ht="15.75" customHeight="1">
      <c r="A34" s="20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0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2"/>
      <c r="AP34" s="1" t="s">
        <v>144</v>
      </c>
      <c r="AQ34" s="2"/>
    </row>
    <row r="35" spans="1:43" ht="15.75" customHeight="1">
      <c r="A35" s="20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0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2"/>
      <c r="AP35" s="1" t="s">
        <v>145</v>
      </c>
      <c r="AQ35" s="2"/>
    </row>
    <row r="36" spans="1:43" ht="15.75" customHeight="1">
      <c r="A36" s="20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0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2"/>
      <c r="AQ36" s="2"/>
    </row>
    <row r="37" spans="1:43" ht="15.75" customHeight="1">
      <c r="A37" s="20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0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2"/>
      <c r="AQ37" s="2"/>
    </row>
    <row r="38" spans="1:43" ht="15.75" customHeight="1">
      <c r="A38" s="20"/>
      <c r="B38" s="219">
        <f>$AQ$34&amp;""</f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10"/>
      <c r="AD38" s="219">
        <f>$AQ$35&amp;""</f>
      </c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22"/>
      <c r="AQ38" s="2"/>
    </row>
    <row r="39" spans="1:43" ht="15.75" customHeight="1">
      <c r="A39" s="20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10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22"/>
      <c r="AQ39" s="2"/>
    </row>
    <row r="40" spans="1:41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10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</row>
    <row r="41" spans="1:41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 t="s">
        <v>50</v>
      </c>
      <c r="O41" s="9"/>
      <c r="P41" s="9"/>
      <c r="Q41" s="9"/>
      <c r="R41" s="9"/>
      <c r="S41" s="9"/>
      <c r="T41" s="9"/>
      <c r="U41" s="9"/>
      <c r="V41" s="9"/>
      <c r="W41" s="9" t="s">
        <v>56</v>
      </c>
      <c r="X41" s="9"/>
      <c r="Y41" s="9"/>
      <c r="Z41" s="9"/>
      <c r="AA41" s="9"/>
      <c r="AB41" s="42"/>
      <c r="AC41" s="42"/>
      <c r="AD41" s="43"/>
      <c r="AE41" s="42"/>
      <c r="AF41" s="9"/>
      <c r="AG41" s="9"/>
      <c r="AH41" s="9"/>
      <c r="AI41" s="9"/>
      <c r="AJ41" s="9"/>
      <c r="AK41" s="9"/>
      <c r="AL41" s="9"/>
      <c r="AM41" s="9"/>
      <c r="AN41" s="44"/>
      <c r="AO41" s="45" t="s">
        <v>74</v>
      </c>
    </row>
    <row r="42" spans="1:41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</row>
    <row r="43" spans="1:41" ht="15.75" customHeight="1">
      <c r="A43" s="20"/>
      <c r="B43" s="145">
        <f>$AQ$26&amp;""</f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>
        <f>IF($AQ$29&lt;&gt;"","TEL "&amp;$AQ$29,"")</f>
      </c>
      <c r="U43" s="150"/>
      <c r="V43" s="150"/>
      <c r="W43" s="150"/>
      <c r="X43" s="150"/>
      <c r="Y43" s="150"/>
      <c r="Z43" s="150"/>
      <c r="AA43" s="150"/>
      <c r="AB43" s="150"/>
      <c r="AC43" s="46"/>
      <c r="AD43" s="10"/>
      <c r="AE43" s="260"/>
      <c r="AF43" s="260"/>
      <c r="AG43" s="260"/>
      <c r="AH43" s="260"/>
      <c r="AI43" s="261"/>
      <c r="AJ43" s="261"/>
      <c r="AK43" s="261"/>
      <c r="AL43" s="30"/>
      <c r="AM43" s="30"/>
      <c r="AN43" s="30"/>
      <c r="AO43" s="22"/>
    </row>
    <row r="44" spans="1:41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10"/>
      <c r="AE44" s="260"/>
      <c r="AF44" s="277"/>
      <c r="AG44" s="277"/>
      <c r="AH44" s="277"/>
      <c r="AI44" s="31"/>
      <c r="AJ44" s="31"/>
      <c r="AK44" s="53"/>
      <c r="AL44" s="31"/>
      <c r="AM44" s="31"/>
      <c r="AN44" s="53"/>
      <c r="AO44" s="22"/>
    </row>
    <row r="45" spans="1:41" ht="18.75" customHeight="1">
      <c r="A45" s="20"/>
      <c r="B45" s="69"/>
      <c r="C45" s="149">
        <f>$AQ$27&amp;""</f>
      </c>
      <c r="D45" s="149"/>
      <c r="E45" s="149"/>
      <c r="F45" s="149">
        <f>$AQ$28&amp;""</f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5"/>
      <c r="T45" s="149">
        <f>IF($AQ$30&lt;&gt;"","FAX  "&amp;$AQ$30,"")</f>
      </c>
      <c r="U45" s="149"/>
      <c r="V45" s="149"/>
      <c r="W45" s="149"/>
      <c r="X45" s="149"/>
      <c r="Y45" s="149"/>
      <c r="Z45" s="149"/>
      <c r="AA45" s="149"/>
      <c r="AB45" s="149"/>
      <c r="AC45" s="15"/>
      <c r="AD45" s="10"/>
      <c r="AE45" s="260"/>
      <c r="AF45" s="260"/>
      <c r="AG45" s="260"/>
      <c r="AH45" s="260"/>
      <c r="AI45" s="31"/>
      <c r="AJ45" s="31"/>
      <c r="AK45" s="53"/>
      <c r="AL45" s="31"/>
      <c r="AM45" s="31"/>
      <c r="AN45" s="53"/>
      <c r="AO45" s="22"/>
    </row>
    <row r="46" spans="1:41" ht="7.5" customHeight="1">
      <c r="A46" s="20"/>
      <c r="B46" s="6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0"/>
      <c r="AE46" s="31"/>
      <c r="AF46" s="31"/>
      <c r="AG46" s="31"/>
      <c r="AH46" s="31"/>
      <c r="AI46" s="31"/>
      <c r="AJ46" s="31"/>
      <c r="AK46" s="53"/>
      <c r="AL46" s="31"/>
      <c r="AM46" s="31"/>
      <c r="AN46" s="53"/>
      <c r="AO46" s="22"/>
    </row>
    <row r="47" spans="1:41" ht="18.75" customHeight="1" thickBot="1">
      <c r="A47" s="36"/>
      <c r="B47" s="70"/>
      <c r="C47" s="144">
        <f>$AQ$31&amp;""</f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71"/>
      <c r="T47" s="148">
        <f>$AQ$32&amp;""</f>
      </c>
      <c r="U47" s="148"/>
      <c r="V47" s="148"/>
      <c r="W47" s="148"/>
      <c r="X47" s="148"/>
      <c r="Y47" s="148"/>
      <c r="Z47" s="148"/>
      <c r="AA47" s="148"/>
      <c r="AB47" s="71"/>
      <c r="AC47" s="71"/>
      <c r="AD47" s="37"/>
      <c r="AE47" s="151" t="s">
        <v>49</v>
      </c>
      <c r="AF47" s="151"/>
      <c r="AG47" s="151"/>
      <c r="AH47" s="151"/>
      <c r="AI47" s="148">
        <f>TEXT($AQ$33,"YYYY年MM月DD日;;")</f>
      </c>
      <c r="AJ47" s="148"/>
      <c r="AK47" s="148"/>
      <c r="AL47" s="148"/>
      <c r="AM47" s="148"/>
      <c r="AN47" s="148"/>
      <c r="AO47" s="40"/>
    </row>
    <row r="48" spans="1:2" ht="14.25">
      <c r="A48" s="2"/>
      <c r="B48" s="2"/>
    </row>
  </sheetData>
  <sheetProtection/>
  <mergeCells count="46">
    <mergeCell ref="AE15:AH15"/>
    <mergeCell ref="AI9:AN9"/>
    <mergeCell ref="AE7:AN7"/>
    <mergeCell ref="AI13:AN13"/>
    <mergeCell ref="AE14:AH14"/>
    <mergeCell ref="AI14:AN14"/>
    <mergeCell ref="AE13:AH13"/>
    <mergeCell ref="AI10:AN10"/>
    <mergeCell ref="AI11:AN11"/>
    <mergeCell ref="AI12:AN12"/>
    <mergeCell ref="C47:R47"/>
    <mergeCell ref="AE45:AH45"/>
    <mergeCell ref="T47:AA47"/>
    <mergeCell ref="AE47:AH47"/>
    <mergeCell ref="F45:R45"/>
    <mergeCell ref="T45:AB45"/>
    <mergeCell ref="AI47:AN47"/>
    <mergeCell ref="B11:AB37"/>
    <mergeCell ref="AE44:AH44"/>
    <mergeCell ref="B2:J6"/>
    <mergeCell ref="M2:V6"/>
    <mergeCell ref="AL5:AN6"/>
    <mergeCell ref="L2:L6"/>
    <mergeCell ref="AD2:AI4"/>
    <mergeCell ref="AJ2:AN4"/>
    <mergeCell ref="AD5:AE6"/>
    <mergeCell ref="AF5:AK6"/>
    <mergeCell ref="B8:AB10"/>
    <mergeCell ref="B38:AB39"/>
    <mergeCell ref="C45:E45"/>
    <mergeCell ref="B43:S44"/>
    <mergeCell ref="T43:AB44"/>
    <mergeCell ref="AE9:AH9"/>
    <mergeCell ref="AE10:AH10"/>
    <mergeCell ref="AE11:AH11"/>
    <mergeCell ref="AE12:AH12"/>
    <mergeCell ref="AE43:AH43"/>
    <mergeCell ref="AI43:AK43"/>
    <mergeCell ref="AD38:AN39"/>
    <mergeCell ref="AI15:AN15"/>
    <mergeCell ref="AD21:AN37"/>
    <mergeCell ref="AD19:AH19"/>
    <mergeCell ref="AI19:AN19"/>
    <mergeCell ref="AD16:AD18"/>
    <mergeCell ref="AE16:AN18"/>
    <mergeCell ref="AD9:AD15"/>
  </mergeCells>
  <printOptions horizontalCentered="1"/>
  <pageMargins left="0.3937007874015748" right="0.3937007874015748" top="0.35433070866141736" bottom="0.2362204724409449" header="0.1968503937007874" footer="0.1968503937007874"/>
  <pageSetup horizontalDpi="600" verticalDpi="600" orientation="landscape" paperSiz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2"/>
  <sheetViews>
    <sheetView view="pageBreakPreview" zoomScale="75" zoomScaleNormal="50" zoomScaleSheetLayoutView="75" zoomScalePageLayoutView="0" workbookViewId="0" topLeftCell="A1">
      <selection activeCell="S41" sqref="S41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1.75390625" style="1" customWidth="1"/>
    <col min="42" max="42" width="11.875" style="1" hidden="1" customWidth="1"/>
    <col min="43" max="43" width="11.625" style="9" hidden="1" customWidth="1"/>
    <col min="44" max="45" width="4.50390625" style="1" hidden="1" customWidth="1"/>
    <col min="46" max="49" width="6.50390625" style="1" hidden="1" customWidth="1"/>
    <col min="50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3" ht="14.25" customHeight="1">
      <c r="A2" s="20"/>
      <c r="B2" s="153">
        <f>IF($AQ$10="新築",$AQ$10,"")&amp;IF($AQ$11&lt;&gt;"","売買"&amp;$AQ$11,"")</f>
      </c>
      <c r="C2" s="154"/>
      <c r="D2" s="154"/>
      <c r="E2" s="154"/>
      <c r="F2" s="154"/>
      <c r="G2" s="154"/>
      <c r="H2" s="154"/>
      <c r="I2" s="154"/>
      <c r="J2" s="159"/>
      <c r="K2" s="72"/>
      <c r="L2" s="153">
        <f>$AQ$13&amp;""</f>
      </c>
      <c r="M2" s="154"/>
      <c r="N2" s="154"/>
      <c r="O2" s="154"/>
      <c r="P2" s="154"/>
      <c r="Q2" s="154"/>
      <c r="R2" s="154"/>
      <c r="S2" s="309" t="s">
        <v>63</v>
      </c>
      <c r="T2" s="153">
        <f>TEXT(ROUNDUP(N($AQ$20)/10000,0),"#,###,###;;")</f>
      </c>
      <c r="U2" s="154"/>
      <c r="V2" s="154"/>
      <c r="W2" s="154"/>
      <c r="X2" s="154"/>
      <c r="Y2" s="154"/>
      <c r="Z2" s="154" t="s">
        <v>65</v>
      </c>
      <c r="AA2" s="154"/>
      <c r="AB2" s="159"/>
      <c r="AC2" s="73"/>
      <c r="AD2" s="178">
        <f>$AQ$2&amp;""</f>
      </c>
      <c r="AE2" s="179"/>
      <c r="AF2" s="179"/>
      <c r="AG2" s="179"/>
      <c r="AH2" s="179"/>
      <c r="AI2" s="179"/>
      <c r="AJ2" s="184">
        <f>$AQ$3&amp;""</f>
      </c>
      <c r="AK2" s="184"/>
      <c r="AL2" s="184"/>
      <c r="AM2" s="184"/>
      <c r="AN2" s="185"/>
      <c r="AO2" s="22"/>
      <c r="AP2" s="2" t="s">
        <v>99</v>
      </c>
      <c r="AQ2" s="10"/>
    </row>
    <row r="3" spans="1:43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60"/>
      <c r="K3" s="72"/>
      <c r="L3" s="155"/>
      <c r="M3" s="156"/>
      <c r="N3" s="156"/>
      <c r="O3" s="156"/>
      <c r="P3" s="156"/>
      <c r="Q3" s="156"/>
      <c r="R3" s="156"/>
      <c r="S3" s="310"/>
      <c r="T3" s="155"/>
      <c r="U3" s="156"/>
      <c r="V3" s="156"/>
      <c r="W3" s="156"/>
      <c r="X3" s="156"/>
      <c r="Y3" s="156"/>
      <c r="Z3" s="156"/>
      <c r="AA3" s="156"/>
      <c r="AB3" s="160"/>
      <c r="AC3" s="73"/>
      <c r="AD3" s="180"/>
      <c r="AE3" s="181"/>
      <c r="AF3" s="181"/>
      <c r="AG3" s="181"/>
      <c r="AH3" s="181"/>
      <c r="AI3" s="181"/>
      <c r="AJ3" s="186"/>
      <c r="AK3" s="186"/>
      <c r="AL3" s="186"/>
      <c r="AM3" s="186"/>
      <c r="AN3" s="187"/>
      <c r="AO3" s="22"/>
      <c r="AP3" s="2" t="s">
        <v>100</v>
      </c>
      <c r="AQ3" s="10"/>
    </row>
    <row r="4" spans="1:43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60"/>
      <c r="K4" s="72"/>
      <c r="L4" s="155"/>
      <c r="M4" s="156"/>
      <c r="N4" s="156"/>
      <c r="O4" s="156"/>
      <c r="P4" s="156"/>
      <c r="Q4" s="156"/>
      <c r="R4" s="156"/>
      <c r="S4" s="310"/>
      <c r="T4" s="155"/>
      <c r="U4" s="156"/>
      <c r="V4" s="156"/>
      <c r="W4" s="156"/>
      <c r="X4" s="156"/>
      <c r="Y4" s="156"/>
      <c r="Z4" s="156"/>
      <c r="AA4" s="156"/>
      <c r="AB4" s="160"/>
      <c r="AC4" s="73"/>
      <c r="AD4" s="180"/>
      <c r="AE4" s="181"/>
      <c r="AF4" s="181"/>
      <c r="AG4" s="181"/>
      <c r="AH4" s="181"/>
      <c r="AI4" s="181"/>
      <c r="AJ4" s="186"/>
      <c r="AK4" s="186"/>
      <c r="AL4" s="186"/>
      <c r="AM4" s="186"/>
      <c r="AN4" s="187"/>
      <c r="AO4" s="22"/>
      <c r="AP4" s="1" t="s">
        <v>78</v>
      </c>
      <c r="AQ4" s="10"/>
    </row>
    <row r="5" spans="1:43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60"/>
      <c r="K5" s="72"/>
      <c r="L5" s="155"/>
      <c r="M5" s="156"/>
      <c r="N5" s="156"/>
      <c r="O5" s="156"/>
      <c r="P5" s="156"/>
      <c r="Q5" s="156"/>
      <c r="R5" s="156"/>
      <c r="S5" s="310"/>
      <c r="T5" s="155"/>
      <c r="U5" s="156"/>
      <c r="V5" s="156"/>
      <c r="W5" s="156"/>
      <c r="X5" s="156"/>
      <c r="Y5" s="156"/>
      <c r="Z5" s="305">
        <f>$AQ$23&amp;""</f>
      </c>
      <c r="AA5" s="305"/>
      <c r="AB5" s="306"/>
      <c r="AC5" s="73"/>
      <c r="AD5" s="165">
        <f>TEXT(N($AQ$4),"バス#分;;")</f>
      </c>
      <c r="AE5" s="166"/>
      <c r="AF5" s="166">
        <f>IF($AQ$5&lt;&gt;"",$AQ$5&amp;"下車","")</f>
      </c>
      <c r="AG5" s="182"/>
      <c r="AH5" s="182"/>
      <c r="AI5" s="182"/>
      <c r="AJ5" s="182"/>
      <c r="AK5" s="182"/>
      <c r="AL5" s="166">
        <f>TEXT(ROUNDUP(N($AQ$6)/80,0),"徒歩#分;;")</f>
      </c>
      <c r="AM5" s="166"/>
      <c r="AN5" s="188"/>
      <c r="AO5" s="22"/>
      <c r="AP5" s="1" t="s">
        <v>79</v>
      </c>
      <c r="AQ5" s="10"/>
    </row>
    <row r="6" spans="1:43" ht="11.25" customHeight="1">
      <c r="A6" s="20"/>
      <c r="B6" s="157"/>
      <c r="C6" s="158"/>
      <c r="D6" s="158"/>
      <c r="E6" s="158"/>
      <c r="F6" s="158"/>
      <c r="G6" s="158"/>
      <c r="H6" s="158"/>
      <c r="I6" s="158"/>
      <c r="J6" s="161"/>
      <c r="K6" s="72"/>
      <c r="L6" s="157"/>
      <c r="M6" s="158"/>
      <c r="N6" s="158"/>
      <c r="O6" s="158"/>
      <c r="P6" s="158"/>
      <c r="Q6" s="158"/>
      <c r="R6" s="158"/>
      <c r="S6" s="311"/>
      <c r="T6" s="157"/>
      <c r="U6" s="158"/>
      <c r="V6" s="158"/>
      <c r="W6" s="158"/>
      <c r="X6" s="158"/>
      <c r="Y6" s="158"/>
      <c r="Z6" s="307"/>
      <c r="AA6" s="307"/>
      <c r="AB6" s="308"/>
      <c r="AC6" s="74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P6" s="1" t="s">
        <v>80</v>
      </c>
      <c r="AQ6" s="10"/>
    </row>
    <row r="7" spans="1:43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4" t="s">
        <v>1</v>
      </c>
      <c r="AE7" s="293">
        <f>$AQ$9&amp;""</f>
      </c>
      <c r="AF7" s="191"/>
      <c r="AG7" s="191"/>
      <c r="AH7" s="191"/>
      <c r="AI7" s="191"/>
      <c r="AJ7" s="191"/>
      <c r="AK7" s="191"/>
      <c r="AL7" s="191"/>
      <c r="AM7" s="191"/>
      <c r="AN7" s="192"/>
      <c r="AO7" s="22"/>
      <c r="AP7" s="1" t="s">
        <v>82</v>
      </c>
      <c r="AQ7" s="10"/>
    </row>
    <row r="8" spans="1:43" ht="25.5" customHeight="1">
      <c r="A8" s="20"/>
      <c r="B8" s="198">
        <f>$AQ$47&amp;""</f>
      </c>
      <c r="C8" s="198"/>
      <c r="D8" s="198"/>
      <c r="E8" s="198"/>
      <c r="F8" s="198"/>
      <c r="G8" s="198"/>
      <c r="H8" s="198"/>
      <c r="I8" s="198"/>
      <c r="J8" s="198"/>
      <c r="K8" s="10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"/>
      <c r="AD8" s="28" t="s">
        <v>14</v>
      </c>
      <c r="AE8" s="293">
        <f>IF($AQ$7&lt;&gt;"",$AQ$7&amp;IF($AQ$8&lt;&gt;""," ("&amp;$AQ$8&amp;")",""),"")</f>
      </c>
      <c r="AF8" s="191"/>
      <c r="AG8" s="191"/>
      <c r="AH8" s="191"/>
      <c r="AI8" s="191"/>
      <c r="AJ8" s="191"/>
      <c r="AK8" s="191"/>
      <c r="AL8" s="191"/>
      <c r="AM8" s="191"/>
      <c r="AN8" s="192"/>
      <c r="AO8" s="22"/>
      <c r="AP8" s="1" t="s">
        <v>81</v>
      </c>
      <c r="AQ8" s="10"/>
    </row>
    <row r="9" spans="1:43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9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"/>
      <c r="AD9" s="284" t="s">
        <v>17</v>
      </c>
      <c r="AE9" s="227" t="s">
        <v>15</v>
      </c>
      <c r="AF9" s="191"/>
      <c r="AG9" s="191"/>
      <c r="AH9" s="192"/>
      <c r="AI9" s="97" t="str">
        <f>IF($AQ$12&lt;&gt;"",$AQ$12&amp;"","-")</f>
        <v>-</v>
      </c>
      <c r="AJ9" s="98"/>
      <c r="AK9" s="98"/>
      <c r="AL9" s="98"/>
      <c r="AM9" s="98"/>
      <c r="AN9" s="99"/>
      <c r="AO9" s="22"/>
      <c r="AP9" s="2" t="s">
        <v>101</v>
      </c>
      <c r="AQ9" s="10"/>
    </row>
    <row r="10" spans="1:43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9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"/>
      <c r="AD10" s="303"/>
      <c r="AE10" s="227" t="s">
        <v>54</v>
      </c>
      <c r="AF10" s="191"/>
      <c r="AG10" s="191"/>
      <c r="AH10" s="192"/>
      <c r="AI10" s="97" t="str">
        <f>TEXT(N($AQ$16),"#階;;-")&amp;"/"&amp;TEXT(N($AQ$17),"#階建;;-")</f>
        <v>-/-</v>
      </c>
      <c r="AJ10" s="98"/>
      <c r="AK10" s="98"/>
      <c r="AL10" s="100"/>
      <c r="AM10" s="100"/>
      <c r="AN10" s="101"/>
      <c r="AO10" s="22"/>
      <c r="AP10" s="1" t="s">
        <v>122</v>
      </c>
      <c r="AQ10" s="10"/>
    </row>
    <row r="11" spans="1:43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9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"/>
      <c r="AD11" s="303"/>
      <c r="AE11" s="227" t="s">
        <v>190</v>
      </c>
      <c r="AF11" s="191"/>
      <c r="AG11" s="191"/>
      <c r="AH11" s="192"/>
      <c r="AI11" s="97" t="str">
        <f>IF(AQ30&lt;&gt;"",AQ30,"-")</f>
        <v>-</v>
      </c>
      <c r="AJ11" s="100"/>
      <c r="AK11" s="100"/>
      <c r="AL11" s="100"/>
      <c r="AM11" s="100"/>
      <c r="AN11" s="101"/>
      <c r="AO11" s="22"/>
      <c r="AP11" s="2" t="s">
        <v>97</v>
      </c>
      <c r="AQ11" s="10"/>
    </row>
    <row r="12" spans="1:43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9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"/>
      <c r="AD12" s="303"/>
      <c r="AE12" s="227" t="s">
        <v>18</v>
      </c>
      <c r="AF12" s="191"/>
      <c r="AG12" s="191"/>
      <c r="AH12" s="192"/>
      <c r="AI12" s="97" t="str">
        <f>TEXT(N($AQ$15),"#,##0.0#㎡;;-")&amp;IF($AQ$18&lt;&gt;""," ("&amp;$AQ$18&amp;")","")</f>
        <v>-</v>
      </c>
      <c r="AJ12" s="100"/>
      <c r="AK12" s="100"/>
      <c r="AL12" s="100"/>
      <c r="AM12" s="100"/>
      <c r="AN12" s="101"/>
      <c r="AO12" s="22"/>
      <c r="AP12" s="2" t="s">
        <v>102</v>
      </c>
      <c r="AQ12" s="10"/>
    </row>
    <row r="13" spans="1:43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9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"/>
      <c r="AD13" s="303"/>
      <c r="AE13" s="227" t="s">
        <v>19</v>
      </c>
      <c r="AF13" s="191"/>
      <c r="AG13" s="191"/>
      <c r="AH13" s="192"/>
      <c r="AI13" s="97" t="str">
        <f>TEXT(N($AQ$19),"#,##0.0#㎡;;-")</f>
        <v>-</v>
      </c>
      <c r="AJ13" s="281"/>
      <c r="AK13" s="281"/>
      <c r="AL13" s="281"/>
      <c r="AM13" s="281"/>
      <c r="AN13" s="282"/>
      <c r="AO13" s="22"/>
      <c r="AP13" s="2" t="s">
        <v>98</v>
      </c>
      <c r="AQ13" s="10"/>
    </row>
    <row r="14" spans="1:43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9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"/>
      <c r="AD14" s="303"/>
      <c r="AE14" s="233" t="s">
        <v>20</v>
      </c>
      <c r="AF14" s="234"/>
      <c r="AG14" s="234"/>
      <c r="AH14" s="235"/>
      <c r="AI14" s="287">
        <f>$AQ$14&amp;""</f>
      </c>
      <c r="AJ14" s="288"/>
      <c r="AK14" s="288"/>
      <c r="AL14" s="288"/>
      <c r="AM14" s="288"/>
      <c r="AN14" s="289"/>
      <c r="AO14" s="22"/>
      <c r="AP14" s="1" t="s">
        <v>152</v>
      </c>
      <c r="AQ14" s="10"/>
    </row>
    <row r="15" spans="1:43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9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"/>
      <c r="AD15" s="303"/>
      <c r="AE15" s="312"/>
      <c r="AF15" s="313"/>
      <c r="AG15" s="313"/>
      <c r="AH15" s="314"/>
      <c r="AI15" s="290"/>
      <c r="AJ15" s="291"/>
      <c r="AK15" s="291"/>
      <c r="AL15" s="291"/>
      <c r="AM15" s="291"/>
      <c r="AN15" s="292"/>
      <c r="AO15" s="22"/>
      <c r="AP15" s="1" t="s">
        <v>83</v>
      </c>
      <c r="AQ15" s="10"/>
    </row>
    <row r="16" spans="1:43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9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"/>
      <c r="AD16" s="303"/>
      <c r="AE16" s="227" t="s">
        <v>21</v>
      </c>
      <c r="AF16" s="228"/>
      <c r="AG16" s="228"/>
      <c r="AH16" s="229"/>
      <c r="AI16" s="97" t="str">
        <f>IF($AQ$29&lt;&gt;"",$AQ$29&amp;"","-")</f>
        <v>-</v>
      </c>
      <c r="AJ16" s="100"/>
      <c r="AK16" s="100"/>
      <c r="AL16" s="100"/>
      <c r="AM16" s="100"/>
      <c r="AN16" s="101"/>
      <c r="AO16" s="22"/>
      <c r="AP16" s="1" t="s">
        <v>84</v>
      </c>
      <c r="AQ16" s="10"/>
    </row>
    <row r="17" spans="1:43" ht="15.75" customHeight="1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9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"/>
      <c r="AD17" s="303"/>
      <c r="AE17" s="227" t="s">
        <v>22</v>
      </c>
      <c r="AF17" s="228"/>
      <c r="AG17" s="228"/>
      <c r="AH17" s="229"/>
      <c r="AI17" s="97" t="str">
        <f>TEXT(N($AQ$33),"# 戸;;-")</f>
        <v>-</v>
      </c>
      <c r="AJ17" s="100"/>
      <c r="AK17" s="100"/>
      <c r="AL17" s="100"/>
      <c r="AM17" s="100"/>
      <c r="AN17" s="101"/>
      <c r="AO17" s="22"/>
      <c r="AP17" s="1" t="s">
        <v>85</v>
      </c>
      <c r="AQ17" s="10"/>
    </row>
    <row r="18" spans="1:43" ht="15.75" customHeight="1">
      <c r="A18" s="20"/>
      <c r="B18" s="198"/>
      <c r="C18" s="198"/>
      <c r="D18" s="198"/>
      <c r="E18" s="198"/>
      <c r="F18" s="198"/>
      <c r="G18" s="198"/>
      <c r="H18" s="198"/>
      <c r="I18" s="198"/>
      <c r="J18" s="198"/>
      <c r="K18" s="9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"/>
      <c r="AD18" s="303"/>
      <c r="AE18" s="227" t="s">
        <v>23</v>
      </c>
      <c r="AF18" s="228"/>
      <c r="AG18" s="228"/>
      <c r="AH18" s="229"/>
      <c r="AI18" s="97" t="str">
        <f>IF($AQ$34&lt;&gt;"",$AQ$34&amp;"","-")</f>
        <v>-</v>
      </c>
      <c r="AJ18" s="100"/>
      <c r="AK18" s="100"/>
      <c r="AL18" s="100"/>
      <c r="AM18" s="100"/>
      <c r="AN18" s="101"/>
      <c r="AO18" s="22"/>
      <c r="AP18" s="1" t="s">
        <v>125</v>
      </c>
      <c r="AQ18" s="10"/>
    </row>
    <row r="19" spans="1:43" ht="15.75" customHeight="1">
      <c r="A19" s="20"/>
      <c r="B19" s="198"/>
      <c r="C19" s="198"/>
      <c r="D19" s="198"/>
      <c r="E19" s="198"/>
      <c r="F19" s="198"/>
      <c r="G19" s="198"/>
      <c r="H19" s="198"/>
      <c r="I19" s="198"/>
      <c r="J19" s="198"/>
      <c r="K19" s="10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"/>
      <c r="AD19" s="304"/>
      <c r="AE19" s="227" t="s">
        <v>183</v>
      </c>
      <c r="AF19" s="191"/>
      <c r="AG19" s="191"/>
      <c r="AH19" s="192"/>
      <c r="AI19" s="97" t="str">
        <f>IF($AQ$35&lt;&gt;"",$AQ$35&amp;"","-")</f>
        <v>-</v>
      </c>
      <c r="AJ19" s="100"/>
      <c r="AK19" s="100"/>
      <c r="AL19" s="100"/>
      <c r="AM19" s="100"/>
      <c r="AN19" s="101"/>
      <c r="AO19" s="22"/>
      <c r="AP19" s="1" t="s">
        <v>150</v>
      </c>
      <c r="AQ19" s="10"/>
    </row>
    <row r="20" spans="1:43" ht="15.75" customHeight="1">
      <c r="A20" s="20"/>
      <c r="B20" s="198"/>
      <c r="C20" s="198"/>
      <c r="D20" s="198"/>
      <c r="E20" s="198"/>
      <c r="F20" s="198"/>
      <c r="G20" s="198"/>
      <c r="H20" s="198"/>
      <c r="I20" s="198"/>
      <c r="J20" s="198"/>
      <c r="K20" s="10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"/>
      <c r="AD20" s="284" t="s">
        <v>24</v>
      </c>
      <c r="AE20" s="227" t="s">
        <v>25</v>
      </c>
      <c r="AF20" s="191"/>
      <c r="AG20" s="191"/>
      <c r="AH20" s="192"/>
      <c r="AI20" s="97" t="str">
        <f>IF($AQ$24&lt;&gt;"",$AQ$24&amp;"","-")</f>
        <v>-</v>
      </c>
      <c r="AJ20" s="100"/>
      <c r="AK20" s="100"/>
      <c r="AL20" s="100"/>
      <c r="AM20" s="100"/>
      <c r="AN20" s="101"/>
      <c r="AO20" s="22"/>
      <c r="AP20" s="1" t="s">
        <v>149</v>
      </c>
      <c r="AQ20" s="10"/>
    </row>
    <row r="21" spans="1:43" ht="15.75" customHeight="1">
      <c r="A21" s="20"/>
      <c r="B21" s="198"/>
      <c r="C21" s="198"/>
      <c r="D21" s="198"/>
      <c r="E21" s="198"/>
      <c r="F21" s="198"/>
      <c r="G21" s="198"/>
      <c r="H21" s="198"/>
      <c r="I21" s="198"/>
      <c r="J21" s="198"/>
      <c r="K21" s="10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"/>
      <c r="AD21" s="303"/>
      <c r="AE21" s="230" t="s">
        <v>67</v>
      </c>
      <c r="AF21" s="231"/>
      <c r="AG21" s="231"/>
      <c r="AH21" s="232"/>
      <c r="AI21" s="97" t="str">
        <f>IF($AQ$25&lt;&gt;"",$AQ$25&amp;"","-")</f>
        <v>-</v>
      </c>
      <c r="AJ21" s="100"/>
      <c r="AK21" s="100"/>
      <c r="AL21" s="100"/>
      <c r="AM21" s="100"/>
      <c r="AN21" s="101"/>
      <c r="AO21" s="22"/>
      <c r="AP21" s="1" t="s">
        <v>146</v>
      </c>
      <c r="AQ21" s="10"/>
    </row>
    <row r="22" spans="1:43" ht="15.75" customHeight="1">
      <c r="A22" s="20"/>
      <c r="B22" s="198"/>
      <c r="C22" s="198"/>
      <c r="D22" s="198"/>
      <c r="E22" s="198"/>
      <c r="F22" s="198"/>
      <c r="G22" s="198"/>
      <c r="H22" s="198"/>
      <c r="I22" s="198"/>
      <c r="J22" s="198"/>
      <c r="K22" s="3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"/>
      <c r="AD22" s="303"/>
      <c r="AE22" s="230" t="s">
        <v>66</v>
      </c>
      <c r="AF22" s="231"/>
      <c r="AG22" s="231"/>
      <c r="AH22" s="232"/>
      <c r="AI22" s="97" t="str">
        <f>TEXT(N($AQ$26),"#,###,###円""/""月;;-")</f>
        <v>-</v>
      </c>
      <c r="AJ22" s="100"/>
      <c r="AK22" s="100"/>
      <c r="AL22" s="100"/>
      <c r="AM22" s="100"/>
      <c r="AN22" s="101"/>
      <c r="AO22" s="22"/>
      <c r="AP22" s="1" t="s">
        <v>147</v>
      </c>
      <c r="AQ22" s="10"/>
    </row>
    <row r="23" spans="1:43" ht="15.75" customHeight="1">
      <c r="A23" s="20"/>
      <c r="B23" s="198"/>
      <c r="C23" s="198"/>
      <c r="D23" s="198"/>
      <c r="E23" s="198"/>
      <c r="F23" s="198"/>
      <c r="G23" s="198"/>
      <c r="H23" s="198"/>
      <c r="I23" s="198"/>
      <c r="J23" s="198"/>
      <c r="K23" s="32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"/>
      <c r="AD23" s="303"/>
      <c r="AE23" s="97" t="s">
        <v>26</v>
      </c>
      <c r="AF23" s="98"/>
      <c r="AG23" s="98"/>
      <c r="AH23" s="99"/>
      <c r="AI23" s="97" t="str">
        <f>IF($AQ$27&lt;&gt;"",$AQ$27&amp;"","-")</f>
        <v>-</v>
      </c>
      <c r="AJ23" s="100"/>
      <c r="AK23" s="100"/>
      <c r="AL23" s="100"/>
      <c r="AM23" s="100"/>
      <c r="AN23" s="101"/>
      <c r="AO23" s="22"/>
      <c r="AP23" s="1" t="s">
        <v>148</v>
      </c>
      <c r="AQ23" s="10"/>
    </row>
    <row r="24" spans="1:43" ht="15.75" customHeight="1">
      <c r="A24" s="20"/>
      <c r="B24" s="198"/>
      <c r="C24" s="198"/>
      <c r="D24" s="198"/>
      <c r="E24" s="198"/>
      <c r="F24" s="198"/>
      <c r="G24" s="198"/>
      <c r="H24" s="198"/>
      <c r="I24" s="198"/>
      <c r="J24" s="198"/>
      <c r="K24" s="10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"/>
      <c r="AD24" s="303"/>
      <c r="AE24" s="97" t="s">
        <v>27</v>
      </c>
      <c r="AF24" s="100"/>
      <c r="AG24" s="100"/>
      <c r="AH24" s="101"/>
      <c r="AI24" s="97" t="str">
        <f>IF($AQ$28&lt;&gt;"",$AQ$28&amp;"","-")</f>
        <v>-</v>
      </c>
      <c r="AJ24" s="100"/>
      <c r="AK24" s="100"/>
      <c r="AL24" s="100"/>
      <c r="AM24" s="100"/>
      <c r="AN24" s="101"/>
      <c r="AO24" s="22"/>
      <c r="AP24" s="1" t="s">
        <v>132</v>
      </c>
      <c r="AQ24" s="10"/>
    </row>
    <row r="25" spans="1:43" ht="15.75" customHeight="1">
      <c r="A25" s="20"/>
      <c r="B25" s="198"/>
      <c r="C25" s="198"/>
      <c r="D25" s="198"/>
      <c r="E25" s="198"/>
      <c r="F25" s="198"/>
      <c r="G25" s="198"/>
      <c r="H25" s="198"/>
      <c r="I25" s="198"/>
      <c r="J25" s="198"/>
      <c r="K25" s="10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"/>
      <c r="AD25" s="304"/>
      <c r="AE25" s="97" t="s">
        <v>153</v>
      </c>
      <c r="AF25" s="100"/>
      <c r="AG25" s="100"/>
      <c r="AH25" s="101"/>
      <c r="AI25" s="97" t="str">
        <f>IF($AQ$31&lt;&gt;"",$AQ$31&amp;"","-")</f>
        <v>-</v>
      </c>
      <c r="AJ25" s="100"/>
      <c r="AK25" s="100"/>
      <c r="AL25" s="100"/>
      <c r="AM25" s="100"/>
      <c r="AN25" s="101"/>
      <c r="AO25" s="22"/>
      <c r="AP25" s="1" t="s">
        <v>67</v>
      </c>
      <c r="AQ25" s="10"/>
    </row>
    <row r="26" spans="1:43" ht="15.75" customHeight="1">
      <c r="A26" s="20"/>
      <c r="B26" s="198"/>
      <c r="C26" s="198"/>
      <c r="D26" s="198"/>
      <c r="E26" s="198"/>
      <c r="F26" s="198"/>
      <c r="G26" s="198"/>
      <c r="H26" s="198"/>
      <c r="I26" s="198"/>
      <c r="J26" s="198"/>
      <c r="K26" s="1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"/>
      <c r="AD26" s="284" t="s">
        <v>68</v>
      </c>
      <c r="AE26" s="97" t="s">
        <v>29</v>
      </c>
      <c r="AF26" s="100"/>
      <c r="AG26" s="100"/>
      <c r="AH26" s="101"/>
      <c r="AI26" s="97" t="str">
        <f>IF($AQ$36&lt;&gt;"",$AQ$36&amp;"","-")</f>
        <v>-</v>
      </c>
      <c r="AJ26" s="100"/>
      <c r="AK26" s="100"/>
      <c r="AL26" s="100"/>
      <c r="AM26" s="100"/>
      <c r="AN26" s="101"/>
      <c r="AO26" s="22"/>
      <c r="AP26" s="1" t="s">
        <v>66</v>
      </c>
      <c r="AQ26" s="10"/>
    </row>
    <row r="27" spans="1:43" ht="15.75" customHeight="1">
      <c r="A27" s="20"/>
      <c r="B27" s="198"/>
      <c r="C27" s="198"/>
      <c r="D27" s="198"/>
      <c r="E27" s="198"/>
      <c r="F27" s="198"/>
      <c r="G27" s="198"/>
      <c r="H27" s="198"/>
      <c r="I27" s="198"/>
      <c r="J27" s="198"/>
      <c r="K27" s="10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"/>
      <c r="AD27" s="130"/>
      <c r="AE27" s="97" t="s">
        <v>36</v>
      </c>
      <c r="AF27" s="100"/>
      <c r="AG27" s="100"/>
      <c r="AH27" s="101"/>
      <c r="AI27" s="97" t="str">
        <f>TEXT(N($AQ$22),"#,###,###円""/""月;;-")&amp;"・"&amp;TEXT(N($AQ$21),"#,###,###円""/""月;;-")</f>
        <v>-・-</v>
      </c>
      <c r="AJ27" s="100"/>
      <c r="AK27" s="100"/>
      <c r="AL27" s="100"/>
      <c r="AM27" s="100"/>
      <c r="AN27" s="101"/>
      <c r="AO27" s="22"/>
      <c r="AP27" s="1" t="s">
        <v>26</v>
      </c>
      <c r="AQ27" s="10"/>
    </row>
    <row r="28" spans="1:43" ht="15.75" customHeight="1">
      <c r="A28" s="20"/>
      <c r="B28" s="302">
        <f>$AQ$61&amp;""</f>
      </c>
      <c r="C28" s="302"/>
      <c r="D28" s="302"/>
      <c r="E28" s="302"/>
      <c r="F28" s="302"/>
      <c r="G28" s="302"/>
      <c r="H28" s="302"/>
      <c r="I28" s="302"/>
      <c r="J28" s="302"/>
      <c r="K28" s="10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"/>
      <c r="AD28" s="130"/>
      <c r="AE28" s="97" t="s">
        <v>30</v>
      </c>
      <c r="AF28" s="100"/>
      <c r="AG28" s="100"/>
      <c r="AH28" s="101"/>
      <c r="AI28" s="97" t="str">
        <f>IF($AQ$37&lt;&gt;"",$AQ$37&amp;"","-")</f>
        <v>-</v>
      </c>
      <c r="AJ28" s="100"/>
      <c r="AK28" s="100"/>
      <c r="AL28" s="100"/>
      <c r="AM28" s="100"/>
      <c r="AN28" s="101"/>
      <c r="AO28" s="22"/>
      <c r="AP28" s="1" t="s">
        <v>27</v>
      </c>
      <c r="AQ28" s="10"/>
    </row>
    <row r="29" spans="1:43" ht="15.75" customHeight="1">
      <c r="A29" s="20"/>
      <c r="B29" s="283"/>
      <c r="C29" s="283"/>
      <c r="D29" s="283"/>
      <c r="E29" s="283"/>
      <c r="F29" s="283"/>
      <c r="G29" s="283"/>
      <c r="H29" s="283"/>
      <c r="I29" s="283"/>
      <c r="J29" s="283"/>
      <c r="K29" s="10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"/>
      <c r="AD29" s="298" t="s">
        <v>64</v>
      </c>
      <c r="AE29" s="128">
        <f>AQ38&amp;IF(AND(AQ38&lt;&gt;"",N(AQ40)&lt;&gt;0),TEXT(AQ40," (#台)"),"")</f>
      </c>
      <c r="AF29" s="129"/>
      <c r="AG29" s="129"/>
      <c r="AH29" s="129"/>
      <c r="AI29" s="129">
        <f>TEXT(N($AQ$32),"#,###,###円""/""月;;")</f>
      </c>
      <c r="AJ29" s="129"/>
      <c r="AK29" s="129"/>
      <c r="AL29" s="98">
        <f>IF($AQ$39&lt;&gt;"","(距離："&amp;$AQ$39&amp;")","")</f>
      </c>
      <c r="AM29" s="98"/>
      <c r="AN29" s="99"/>
      <c r="AO29" s="22"/>
      <c r="AP29" s="2" t="s">
        <v>103</v>
      </c>
      <c r="AQ29" s="10"/>
    </row>
    <row r="30" spans="1:43" ht="15.75" customHeight="1">
      <c r="A30" s="20"/>
      <c r="B30" s="283"/>
      <c r="C30" s="283"/>
      <c r="D30" s="283"/>
      <c r="E30" s="283"/>
      <c r="F30" s="283"/>
      <c r="G30" s="283"/>
      <c r="H30" s="283"/>
      <c r="I30" s="283"/>
      <c r="J30" s="283"/>
      <c r="K30" s="10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"/>
      <c r="AD30" s="299"/>
      <c r="AE30" s="97">
        <f>$AQ$41&amp;""</f>
      </c>
      <c r="AF30" s="98"/>
      <c r="AG30" s="98"/>
      <c r="AH30" s="98"/>
      <c r="AI30" s="98"/>
      <c r="AJ30" s="98"/>
      <c r="AK30" s="98"/>
      <c r="AL30" s="98"/>
      <c r="AM30" s="98"/>
      <c r="AN30" s="99"/>
      <c r="AO30" s="22"/>
      <c r="AP30" s="2" t="s">
        <v>104</v>
      </c>
      <c r="AQ30" s="12"/>
    </row>
    <row r="31" spans="1:43" ht="15.75" customHeight="1">
      <c r="A31" s="20"/>
      <c r="B31" s="283"/>
      <c r="C31" s="283"/>
      <c r="D31" s="283"/>
      <c r="E31" s="283"/>
      <c r="F31" s="283"/>
      <c r="G31" s="283"/>
      <c r="H31" s="283"/>
      <c r="I31" s="283"/>
      <c r="J31" s="283"/>
      <c r="K31" s="10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"/>
      <c r="AD31" s="285" t="s">
        <v>12</v>
      </c>
      <c r="AE31" s="225">
        <f>IF($AQ$43&lt;&gt;"",$AQ$43&amp;CHAR(10),"")&amp;$AQ$45</f>
      </c>
      <c r="AF31" s="297"/>
      <c r="AG31" s="297"/>
      <c r="AH31" s="297"/>
      <c r="AI31" s="297"/>
      <c r="AJ31" s="297"/>
      <c r="AK31" s="297"/>
      <c r="AL31" s="297"/>
      <c r="AM31" s="297"/>
      <c r="AN31" s="297"/>
      <c r="AO31" s="22"/>
      <c r="AP31" s="2" t="s">
        <v>28</v>
      </c>
      <c r="AQ31" s="10"/>
    </row>
    <row r="32" spans="1:43" ht="15.75" customHeight="1">
      <c r="A32" s="20"/>
      <c r="B32" s="283"/>
      <c r="C32" s="283"/>
      <c r="D32" s="283"/>
      <c r="E32" s="283"/>
      <c r="F32" s="283"/>
      <c r="G32" s="283"/>
      <c r="H32" s="283"/>
      <c r="I32" s="283"/>
      <c r="J32" s="283"/>
      <c r="K32" s="10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"/>
      <c r="AD32" s="286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2"/>
      <c r="AP32" s="1" t="s">
        <v>94</v>
      </c>
      <c r="AQ32" s="10"/>
    </row>
    <row r="33" spans="1:43" ht="15.75" customHeight="1">
      <c r="A33" s="20"/>
      <c r="B33" s="283"/>
      <c r="C33" s="283"/>
      <c r="D33" s="283"/>
      <c r="E33" s="283"/>
      <c r="F33" s="283"/>
      <c r="G33" s="283"/>
      <c r="H33" s="283"/>
      <c r="I33" s="283"/>
      <c r="J33" s="283"/>
      <c r="K33" s="10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"/>
      <c r="AD33" s="286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2"/>
      <c r="AP33" s="2" t="s">
        <v>22</v>
      </c>
      <c r="AQ33" s="10"/>
    </row>
    <row r="34" spans="1:43" ht="15.75" customHeight="1">
      <c r="A34" s="20"/>
      <c r="B34" s="283"/>
      <c r="C34" s="283"/>
      <c r="D34" s="283"/>
      <c r="E34" s="283"/>
      <c r="F34" s="283"/>
      <c r="G34" s="283"/>
      <c r="H34" s="283"/>
      <c r="I34" s="283"/>
      <c r="J34" s="283"/>
      <c r="K34" s="10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"/>
      <c r="AD34" s="286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2"/>
      <c r="AP34" s="2" t="s">
        <v>109</v>
      </c>
      <c r="AQ34" s="10"/>
    </row>
    <row r="35" spans="1:43" ht="15.75" customHeight="1">
      <c r="A35" s="20"/>
      <c r="B35" s="283"/>
      <c r="C35" s="283"/>
      <c r="D35" s="283"/>
      <c r="E35" s="283"/>
      <c r="F35" s="283"/>
      <c r="G35" s="283"/>
      <c r="H35" s="283"/>
      <c r="I35" s="283"/>
      <c r="J35" s="283"/>
      <c r="K35" s="10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"/>
      <c r="AD35" s="285" t="s">
        <v>0</v>
      </c>
      <c r="AE35" s="225">
        <f>$AQ$44&amp;""</f>
      </c>
      <c r="AF35" s="297"/>
      <c r="AG35" s="297"/>
      <c r="AH35" s="297"/>
      <c r="AI35" s="297"/>
      <c r="AJ35" s="297"/>
      <c r="AK35" s="297"/>
      <c r="AL35" s="297"/>
      <c r="AM35" s="297"/>
      <c r="AN35" s="297"/>
      <c r="AO35" s="22"/>
      <c r="AP35" s="2" t="s">
        <v>110</v>
      </c>
      <c r="AQ35" s="12"/>
    </row>
    <row r="36" spans="1:43" ht="15.75" customHeight="1">
      <c r="A36" s="20"/>
      <c r="B36" s="283"/>
      <c r="C36" s="283"/>
      <c r="D36" s="283"/>
      <c r="E36" s="283"/>
      <c r="F36" s="283"/>
      <c r="G36" s="283"/>
      <c r="H36" s="283"/>
      <c r="I36" s="283"/>
      <c r="J36" s="283"/>
      <c r="K36" s="10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"/>
      <c r="AD36" s="286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2"/>
      <c r="AP36" s="2" t="s">
        <v>29</v>
      </c>
      <c r="AQ36" s="10"/>
    </row>
    <row r="37" spans="1:43" ht="15.75" customHeight="1">
      <c r="A37" s="20"/>
      <c r="B37" s="283"/>
      <c r="C37" s="283"/>
      <c r="D37" s="283"/>
      <c r="E37" s="283"/>
      <c r="F37" s="283"/>
      <c r="G37" s="283"/>
      <c r="H37" s="283"/>
      <c r="I37" s="283"/>
      <c r="J37" s="283"/>
      <c r="K37" s="10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"/>
      <c r="AD37" s="286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2"/>
      <c r="AP37" s="2" t="s">
        <v>151</v>
      </c>
      <c r="AQ37" s="10"/>
    </row>
    <row r="38" spans="1:43" ht="15.75" customHeight="1">
      <c r="A38" s="20"/>
      <c r="B38" s="283"/>
      <c r="C38" s="283"/>
      <c r="D38" s="283"/>
      <c r="E38" s="283"/>
      <c r="F38" s="283"/>
      <c r="G38" s="283"/>
      <c r="H38" s="283"/>
      <c r="I38" s="283"/>
      <c r="J38" s="283"/>
      <c r="K38" s="10"/>
      <c r="L38" s="219">
        <f>$AQ$60&amp;""</f>
      </c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10"/>
      <c r="AD38" s="286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2"/>
      <c r="AP38" s="2" t="s">
        <v>111</v>
      </c>
      <c r="AQ38" s="10"/>
    </row>
    <row r="39" spans="1:43" ht="15.75" customHeight="1">
      <c r="A39" s="20"/>
      <c r="B39" s="302">
        <f>$AQ$62&amp;""</f>
      </c>
      <c r="C39" s="302"/>
      <c r="D39" s="302"/>
      <c r="E39" s="302"/>
      <c r="F39" s="302"/>
      <c r="G39" s="302"/>
      <c r="H39" s="302"/>
      <c r="I39" s="302"/>
      <c r="J39" s="302"/>
      <c r="K39" s="1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75"/>
      <c r="AD39" s="125" t="s">
        <v>195</v>
      </c>
      <c r="AE39" s="126"/>
      <c r="AF39" s="126"/>
      <c r="AG39" s="126"/>
      <c r="AH39" s="127"/>
      <c r="AI39" s="227">
        <f>$AQ$48&amp;""</f>
      </c>
      <c r="AJ39" s="191"/>
      <c r="AK39" s="191"/>
      <c r="AL39" s="191"/>
      <c r="AM39" s="191"/>
      <c r="AN39" s="192"/>
      <c r="AO39" s="22"/>
      <c r="AP39" s="2" t="s">
        <v>178</v>
      </c>
      <c r="AQ39" s="10"/>
    </row>
    <row r="40" spans="1:43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9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  <c r="AP40" s="1" t="s">
        <v>204</v>
      </c>
      <c r="AQ40" s="10"/>
    </row>
    <row r="41" spans="1:43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 t="s">
        <v>50</v>
      </c>
      <c r="O41" s="9"/>
      <c r="P41" s="9"/>
      <c r="Q41" s="9"/>
      <c r="R41" s="9"/>
      <c r="S41" s="9"/>
      <c r="T41" s="9"/>
      <c r="U41" s="9"/>
      <c r="V41" s="9"/>
      <c r="W41" s="9" t="s">
        <v>56</v>
      </c>
      <c r="X41" s="9"/>
      <c r="Y41" s="9"/>
      <c r="Z41" s="9"/>
      <c r="AA41" s="9"/>
      <c r="AB41" s="42"/>
      <c r="AC41" s="42"/>
      <c r="AD41" s="43"/>
      <c r="AE41" s="42"/>
      <c r="AF41" s="9"/>
      <c r="AG41" s="9"/>
      <c r="AH41" s="9"/>
      <c r="AI41" s="9"/>
      <c r="AJ41" s="9"/>
      <c r="AK41" s="9"/>
      <c r="AL41" s="9"/>
      <c r="AM41" s="9"/>
      <c r="AN41" s="44"/>
      <c r="AO41" s="45" t="s">
        <v>74</v>
      </c>
      <c r="AP41" s="1" t="s">
        <v>199</v>
      </c>
      <c r="AQ41" s="10"/>
    </row>
    <row r="42" spans="1:43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Q42" s="10"/>
    </row>
    <row r="43" spans="1:43" ht="15.75" customHeight="1">
      <c r="A43" s="20"/>
      <c r="B43" s="145">
        <f>$AQ$49&amp;""</f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>
        <f>IF($AQ$52&lt;&gt;"","TEL "&amp;$AQ$52,"")</f>
      </c>
      <c r="U43" s="150"/>
      <c r="V43" s="150"/>
      <c r="W43" s="150"/>
      <c r="X43" s="150"/>
      <c r="Y43" s="150"/>
      <c r="Z43" s="150"/>
      <c r="AA43" s="150"/>
      <c r="AB43" s="150"/>
      <c r="AC43" s="46"/>
      <c r="AD43" s="46"/>
      <c r="AE43" s="10"/>
      <c r="AF43" s="10"/>
      <c r="AG43" s="10"/>
      <c r="AH43" s="10"/>
      <c r="AI43" s="10"/>
      <c r="AJ43" s="10"/>
      <c r="AK43" s="10"/>
      <c r="AL43" s="10"/>
      <c r="AM43" s="10"/>
      <c r="AN43" s="31"/>
      <c r="AO43" s="76"/>
      <c r="AP43" s="2" t="s">
        <v>112</v>
      </c>
      <c r="AQ43" s="10"/>
    </row>
    <row r="44" spans="1:43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46"/>
      <c r="AE44" s="10"/>
      <c r="AF44" s="10"/>
      <c r="AG44" s="141" t="s">
        <v>42</v>
      </c>
      <c r="AH44" s="142"/>
      <c r="AI44" s="142"/>
      <c r="AJ44" s="133">
        <f>$AQ$57&amp;""</f>
      </c>
      <c r="AK44" s="294"/>
      <c r="AL44" s="294"/>
      <c r="AM44" s="77">
        <f>$AQ$58&amp;""</f>
      </c>
      <c r="AN44" s="31"/>
      <c r="AO44" s="76"/>
      <c r="AP44" s="2" t="s">
        <v>55</v>
      </c>
      <c r="AQ44" s="10"/>
    </row>
    <row r="45" spans="1:43" ht="18.75" customHeight="1">
      <c r="A45" s="20"/>
      <c r="B45" s="69"/>
      <c r="C45" s="152">
        <f>$AQ$50&amp;""</f>
      </c>
      <c r="D45" s="152"/>
      <c r="E45" s="152"/>
      <c r="F45" s="152">
        <f>$AQ$51&amp;""</f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"/>
      <c r="T45" s="149">
        <f>IF($AQ$53&lt;&gt;"","FAX  "&amp;$AQ$53,"")</f>
      </c>
      <c r="U45" s="149"/>
      <c r="V45" s="149"/>
      <c r="W45" s="149"/>
      <c r="X45" s="149"/>
      <c r="Y45" s="149"/>
      <c r="Z45" s="149"/>
      <c r="AA45" s="149"/>
      <c r="AB45" s="149"/>
      <c r="AC45" s="10"/>
      <c r="AD45" s="15"/>
      <c r="AE45" s="10"/>
      <c r="AF45" s="10"/>
      <c r="AG45" s="141" t="s">
        <v>52</v>
      </c>
      <c r="AH45" s="142"/>
      <c r="AI45" s="142"/>
      <c r="AJ45" s="133" t="str">
        <f>IF(ISNUMBER($AQ$59),$AQ$59&amp;"%",IF($AQ$59&lt;&gt;"",$AQ$59,"-"))</f>
        <v>-</v>
      </c>
      <c r="AK45" s="295"/>
      <c r="AL45" s="295"/>
      <c r="AM45" s="296"/>
      <c r="AN45" s="31"/>
      <c r="AO45" s="76"/>
      <c r="AP45" s="1" t="s">
        <v>172</v>
      </c>
      <c r="AQ45" s="10"/>
    </row>
    <row r="46" spans="1:43" ht="7.5" customHeight="1">
      <c r="A46" s="20"/>
      <c r="B46" s="6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0"/>
      <c r="AD46" s="15"/>
      <c r="AE46" s="10"/>
      <c r="AF46" s="10"/>
      <c r="AG46" s="31"/>
      <c r="AH46" s="31"/>
      <c r="AI46" s="31"/>
      <c r="AJ46" s="31"/>
      <c r="AK46" s="31"/>
      <c r="AL46" s="31"/>
      <c r="AM46" s="53"/>
      <c r="AN46" s="31"/>
      <c r="AO46" s="76"/>
      <c r="AQ46" s="10"/>
    </row>
    <row r="47" spans="1:43" ht="18.75" customHeight="1" thickBot="1">
      <c r="A47" s="36"/>
      <c r="B47" s="70"/>
      <c r="C47" s="144">
        <f>$AQ$54&amp;""</f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71"/>
      <c r="T47" s="148">
        <f>$AQ$55&amp;""</f>
      </c>
      <c r="U47" s="148"/>
      <c r="V47" s="148"/>
      <c r="W47" s="148"/>
      <c r="X47" s="148"/>
      <c r="Y47" s="148"/>
      <c r="Z47" s="148"/>
      <c r="AA47" s="148"/>
      <c r="AB47" s="71"/>
      <c r="AC47" s="37"/>
      <c r="AD47" s="71"/>
      <c r="AE47" s="301" t="s">
        <v>49</v>
      </c>
      <c r="AF47" s="301"/>
      <c r="AG47" s="301"/>
      <c r="AH47" s="301"/>
      <c r="AI47" s="300">
        <f>TEXT($AQ$56,"YYYY年MM月DD日;;")</f>
      </c>
      <c r="AJ47" s="300"/>
      <c r="AK47" s="300"/>
      <c r="AL47" s="300"/>
      <c r="AM47" s="300"/>
      <c r="AN47" s="300"/>
      <c r="AO47" s="78"/>
      <c r="AP47" s="2" t="s">
        <v>117</v>
      </c>
      <c r="AQ47" s="10"/>
    </row>
    <row r="48" spans="1:43" ht="14.25">
      <c r="A48" s="2"/>
      <c r="B48" s="2"/>
      <c r="AP48" s="2" t="s">
        <v>113</v>
      </c>
      <c r="AQ48" s="10"/>
    </row>
    <row r="49" spans="42:43" ht="14.25">
      <c r="AP49" s="2" t="s">
        <v>114</v>
      </c>
      <c r="AQ49" s="10"/>
    </row>
    <row r="50" spans="42:43" ht="14.25">
      <c r="AP50" s="1" t="s">
        <v>118</v>
      </c>
      <c r="AQ50" s="10"/>
    </row>
    <row r="51" spans="42:43" ht="14.25">
      <c r="AP51" s="1" t="s">
        <v>115</v>
      </c>
      <c r="AQ51" s="10"/>
    </row>
    <row r="52" spans="42:43" ht="14.25">
      <c r="AP52" s="1" t="s">
        <v>119</v>
      </c>
      <c r="AQ52" s="10"/>
    </row>
    <row r="53" spans="42:43" ht="14.25">
      <c r="AP53" s="1" t="s">
        <v>120</v>
      </c>
      <c r="AQ53" s="10"/>
    </row>
    <row r="54" spans="42:43" ht="14.25">
      <c r="AP54" s="1" t="s">
        <v>121</v>
      </c>
      <c r="AQ54" s="10"/>
    </row>
    <row r="55" spans="42:43" ht="14.25">
      <c r="AP55" s="1" t="s">
        <v>124</v>
      </c>
      <c r="AQ55" s="10"/>
    </row>
    <row r="56" spans="42:43" ht="14.25">
      <c r="AP56" s="1" t="s">
        <v>116</v>
      </c>
      <c r="AQ56" s="10"/>
    </row>
    <row r="57" spans="42:43" ht="14.25">
      <c r="AP57" s="1" t="s">
        <v>136</v>
      </c>
      <c r="AQ57" s="10"/>
    </row>
    <row r="58" spans="42:43" ht="14.25">
      <c r="AP58" s="1" t="s">
        <v>135</v>
      </c>
      <c r="AQ58" s="10"/>
    </row>
    <row r="59" spans="42:43" ht="14.25">
      <c r="AP59" s="1" t="s">
        <v>77</v>
      </c>
      <c r="AQ59" s="10"/>
    </row>
    <row r="60" spans="42:43" ht="14.25">
      <c r="AP60" s="1" t="s">
        <v>141</v>
      </c>
      <c r="AQ60" s="10"/>
    </row>
    <row r="61" spans="42:43" ht="14.25">
      <c r="AP61" s="1" t="s">
        <v>142</v>
      </c>
      <c r="AQ61" s="10"/>
    </row>
    <row r="62" spans="42:43" ht="14.25">
      <c r="AP62" s="1" t="s">
        <v>143</v>
      </c>
      <c r="AQ62" s="10"/>
    </row>
  </sheetData>
  <sheetProtection/>
  <mergeCells count="85">
    <mergeCell ref="AE9:AH9"/>
    <mergeCell ref="AI29:AK29"/>
    <mergeCell ref="AE29:AH29"/>
    <mergeCell ref="AI10:AN10"/>
    <mergeCell ref="AI23:AN23"/>
    <mergeCell ref="AE14:AH15"/>
    <mergeCell ref="AE13:AH13"/>
    <mergeCell ref="AI21:AN21"/>
    <mergeCell ref="AI26:AN26"/>
    <mergeCell ref="AE11:AH11"/>
    <mergeCell ref="T2:Y6"/>
    <mergeCell ref="B28:J28"/>
    <mergeCell ref="Z2:AB4"/>
    <mergeCell ref="Z5:AB6"/>
    <mergeCell ref="S2:S6"/>
    <mergeCell ref="L8:AB37"/>
    <mergeCell ref="B2:J6"/>
    <mergeCell ref="L2:R6"/>
    <mergeCell ref="B8:J16"/>
    <mergeCell ref="B18:J27"/>
    <mergeCell ref="AJ2:AN4"/>
    <mergeCell ref="AD5:AE6"/>
    <mergeCell ref="AF5:AK6"/>
    <mergeCell ref="AE16:AH16"/>
    <mergeCell ref="AE7:AN7"/>
    <mergeCell ref="AD2:AI4"/>
    <mergeCell ref="AE12:AH12"/>
    <mergeCell ref="AD9:AD19"/>
    <mergeCell ref="AI17:AN17"/>
    <mergeCell ref="AE19:AH19"/>
    <mergeCell ref="AE25:AH25"/>
    <mergeCell ref="AI24:AN24"/>
    <mergeCell ref="AL29:AN29"/>
    <mergeCell ref="AE26:AH26"/>
    <mergeCell ref="AI27:AN27"/>
    <mergeCell ref="AI28:AN28"/>
    <mergeCell ref="AE22:AH22"/>
    <mergeCell ref="AE23:AH23"/>
    <mergeCell ref="AE28:AH28"/>
    <mergeCell ref="AE24:AH24"/>
    <mergeCell ref="AD31:AD34"/>
    <mergeCell ref="AD20:AD25"/>
    <mergeCell ref="AE31:AN34"/>
    <mergeCell ref="AI22:AN22"/>
    <mergeCell ref="AE27:AH27"/>
    <mergeCell ref="AI25:AN25"/>
    <mergeCell ref="AE35:AN38"/>
    <mergeCell ref="AI39:AN39"/>
    <mergeCell ref="AD29:AD30"/>
    <mergeCell ref="AD39:AH39"/>
    <mergeCell ref="AE30:AN30"/>
    <mergeCell ref="C47:R47"/>
    <mergeCell ref="T47:AA47"/>
    <mergeCell ref="AI47:AN47"/>
    <mergeCell ref="AE47:AH47"/>
    <mergeCell ref="B39:J39"/>
    <mergeCell ref="AJ44:AL44"/>
    <mergeCell ref="C45:E45"/>
    <mergeCell ref="F45:R45"/>
    <mergeCell ref="T45:AB45"/>
    <mergeCell ref="AG44:AI44"/>
    <mergeCell ref="T43:AB44"/>
    <mergeCell ref="AG45:AI45"/>
    <mergeCell ref="AJ45:AM45"/>
    <mergeCell ref="B43:S44"/>
    <mergeCell ref="AL5:AN6"/>
    <mergeCell ref="AE17:AH17"/>
    <mergeCell ref="AE18:AH18"/>
    <mergeCell ref="AI14:AN15"/>
    <mergeCell ref="AI11:AN11"/>
    <mergeCell ref="AI18:AN18"/>
    <mergeCell ref="AI16:AN16"/>
    <mergeCell ref="AE10:AH10"/>
    <mergeCell ref="AE8:AN8"/>
    <mergeCell ref="AI12:AN12"/>
    <mergeCell ref="AI13:AN13"/>
    <mergeCell ref="AI9:AN9"/>
    <mergeCell ref="B29:J38"/>
    <mergeCell ref="AE20:AH20"/>
    <mergeCell ref="AD26:AD28"/>
    <mergeCell ref="L38:AB39"/>
    <mergeCell ref="AI19:AN19"/>
    <mergeCell ref="AI20:AN20"/>
    <mergeCell ref="AE21:AH21"/>
    <mergeCell ref="AD35:AD38"/>
  </mergeCells>
  <printOptions horizontalCentered="1"/>
  <pageMargins left="0.3937007874015748" right="0.3937007874015748" top="0.35433070866141736" bottom="0.2362204724409449" header="0.1968503937007874" footer="0.1968503937007874"/>
  <pageSetup horizontalDpi="600" verticalDpi="600" orientation="landscape" paperSize="1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6"/>
  <sheetViews>
    <sheetView view="pageBreakPreview" zoomScale="75" zoomScaleNormal="50" zoomScaleSheetLayoutView="75" zoomScalePageLayoutView="0" workbookViewId="0" topLeftCell="A1">
      <selection activeCell="S41" sqref="S41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1.875" style="1" customWidth="1"/>
    <col min="42" max="42" width="4.50390625" style="1" hidden="1" customWidth="1"/>
    <col min="43" max="43" width="12.875" style="1" hidden="1" customWidth="1"/>
    <col min="44" max="44" width="11.625" style="9" hidden="1" customWidth="1"/>
    <col min="45" max="45" width="4.50390625" style="1" hidden="1" customWidth="1"/>
    <col min="46" max="49" width="6.50390625" style="1" hidden="1" customWidth="1"/>
    <col min="50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4" ht="14.25" customHeight="1">
      <c r="A2" s="20"/>
      <c r="B2" s="153">
        <f>IF($AR$7="新築",$AR$7,"")&amp;IF($AR$8&lt;&gt;"","売買"&amp;$AR$8,"")</f>
      </c>
      <c r="C2" s="154"/>
      <c r="D2" s="154"/>
      <c r="E2" s="154"/>
      <c r="F2" s="154"/>
      <c r="G2" s="154"/>
      <c r="H2" s="154"/>
      <c r="I2" s="154"/>
      <c r="J2" s="159"/>
      <c r="K2" s="79"/>
      <c r="L2" s="153">
        <f>$AR$15&amp;""</f>
      </c>
      <c r="M2" s="154"/>
      <c r="N2" s="154"/>
      <c r="O2" s="154"/>
      <c r="P2" s="154"/>
      <c r="Q2" s="154"/>
      <c r="R2" s="159"/>
      <c r="S2" s="309" t="s">
        <v>63</v>
      </c>
      <c r="T2" s="153">
        <f>TEXT(ROUNDUP(N($AR$19)/10000,0),"#,###,###;;")</f>
      </c>
      <c r="U2" s="154"/>
      <c r="V2" s="154"/>
      <c r="W2" s="154"/>
      <c r="X2" s="154"/>
      <c r="Y2" s="154"/>
      <c r="Z2" s="154" t="s">
        <v>65</v>
      </c>
      <c r="AA2" s="154"/>
      <c r="AB2" s="159"/>
      <c r="AC2" s="73"/>
      <c r="AD2" s="178">
        <f>$AR$2&amp;""</f>
      </c>
      <c r="AE2" s="179"/>
      <c r="AF2" s="179"/>
      <c r="AG2" s="179"/>
      <c r="AH2" s="179"/>
      <c r="AI2" s="179"/>
      <c r="AJ2" s="184">
        <f>$AR$3&amp;""</f>
      </c>
      <c r="AK2" s="184"/>
      <c r="AL2" s="184"/>
      <c r="AM2" s="184"/>
      <c r="AN2" s="185"/>
      <c r="AO2" s="22"/>
      <c r="AQ2" s="2" t="s">
        <v>99</v>
      </c>
      <c r="AR2" s="10"/>
    </row>
    <row r="3" spans="1:44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60"/>
      <c r="K3" s="80"/>
      <c r="L3" s="155"/>
      <c r="M3" s="156"/>
      <c r="N3" s="156"/>
      <c r="O3" s="156"/>
      <c r="P3" s="156"/>
      <c r="Q3" s="156"/>
      <c r="R3" s="160"/>
      <c r="S3" s="310"/>
      <c r="T3" s="155"/>
      <c r="U3" s="156"/>
      <c r="V3" s="156"/>
      <c r="W3" s="156"/>
      <c r="X3" s="156"/>
      <c r="Y3" s="156"/>
      <c r="Z3" s="156"/>
      <c r="AA3" s="156"/>
      <c r="AB3" s="160"/>
      <c r="AC3" s="73"/>
      <c r="AD3" s="180"/>
      <c r="AE3" s="181"/>
      <c r="AF3" s="181"/>
      <c r="AG3" s="181"/>
      <c r="AH3" s="181"/>
      <c r="AI3" s="181"/>
      <c r="AJ3" s="324"/>
      <c r="AK3" s="324"/>
      <c r="AL3" s="324"/>
      <c r="AM3" s="324"/>
      <c r="AN3" s="187"/>
      <c r="AO3" s="22"/>
      <c r="AQ3" s="2" t="s">
        <v>100</v>
      </c>
      <c r="AR3" s="10"/>
    </row>
    <row r="4" spans="1:44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60"/>
      <c r="K4" s="80"/>
      <c r="L4" s="155"/>
      <c r="M4" s="156"/>
      <c r="N4" s="156"/>
      <c r="O4" s="156"/>
      <c r="P4" s="156"/>
      <c r="Q4" s="156"/>
      <c r="R4" s="160"/>
      <c r="S4" s="310"/>
      <c r="T4" s="155"/>
      <c r="U4" s="156"/>
      <c r="V4" s="156"/>
      <c r="W4" s="156"/>
      <c r="X4" s="156"/>
      <c r="Y4" s="156"/>
      <c r="Z4" s="156"/>
      <c r="AA4" s="156"/>
      <c r="AB4" s="160"/>
      <c r="AC4" s="73"/>
      <c r="AD4" s="180"/>
      <c r="AE4" s="181"/>
      <c r="AF4" s="181"/>
      <c r="AG4" s="181"/>
      <c r="AH4" s="181"/>
      <c r="AI4" s="181"/>
      <c r="AJ4" s="324"/>
      <c r="AK4" s="324"/>
      <c r="AL4" s="324"/>
      <c r="AM4" s="324"/>
      <c r="AN4" s="187"/>
      <c r="AO4" s="22"/>
      <c r="AQ4" s="1" t="s">
        <v>78</v>
      </c>
      <c r="AR4" s="10"/>
    </row>
    <row r="5" spans="1:44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60"/>
      <c r="K5" s="80"/>
      <c r="L5" s="155"/>
      <c r="M5" s="156"/>
      <c r="N5" s="156"/>
      <c r="O5" s="156"/>
      <c r="P5" s="156"/>
      <c r="Q5" s="156"/>
      <c r="R5" s="160"/>
      <c r="S5" s="310"/>
      <c r="T5" s="155"/>
      <c r="U5" s="156"/>
      <c r="V5" s="156"/>
      <c r="W5" s="156"/>
      <c r="X5" s="156"/>
      <c r="Y5" s="156"/>
      <c r="Z5" s="305">
        <f>$AR$22&amp;""</f>
      </c>
      <c r="AA5" s="305"/>
      <c r="AB5" s="306"/>
      <c r="AC5" s="73"/>
      <c r="AD5" s="165">
        <f>TEXT(N($AR$4),"バス#分;;")</f>
      </c>
      <c r="AE5" s="166"/>
      <c r="AF5" s="166">
        <f>IF($AR$5&lt;&gt;"",$AR$5&amp;"下車","")</f>
      </c>
      <c r="AG5" s="342"/>
      <c r="AH5" s="342"/>
      <c r="AI5" s="342"/>
      <c r="AJ5" s="342"/>
      <c r="AK5" s="342"/>
      <c r="AL5" s="166">
        <f>TEXT(ROUNDUP(N($AR$6)/80,0),"徒歩#分;;")</f>
      </c>
      <c r="AM5" s="166"/>
      <c r="AN5" s="188"/>
      <c r="AO5" s="22"/>
      <c r="AQ5" s="1" t="s">
        <v>79</v>
      </c>
      <c r="AR5" s="10"/>
    </row>
    <row r="6" spans="1:44" ht="11.25" customHeight="1">
      <c r="A6" s="20"/>
      <c r="B6" s="157"/>
      <c r="C6" s="158"/>
      <c r="D6" s="158"/>
      <c r="E6" s="158"/>
      <c r="F6" s="158"/>
      <c r="G6" s="158"/>
      <c r="H6" s="158"/>
      <c r="I6" s="158"/>
      <c r="J6" s="161"/>
      <c r="K6" s="80"/>
      <c r="L6" s="157"/>
      <c r="M6" s="158"/>
      <c r="N6" s="158"/>
      <c r="O6" s="158"/>
      <c r="P6" s="158"/>
      <c r="Q6" s="158"/>
      <c r="R6" s="161"/>
      <c r="S6" s="311"/>
      <c r="T6" s="157"/>
      <c r="U6" s="158"/>
      <c r="V6" s="158"/>
      <c r="W6" s="158"/>
      <c r="X6" s="158"/>
      <c r="Y6" s="158"/>
      <c r="Z6" s="307"/>
      <c r="AA6" s="307"/>
      <c r="AB6" s="308"/>
      <c r="AC6" s="74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Q6" s="1" t="s">
        <v>80</v>
      </c>
      <c r="AR6" s="10"/>
    </row>
    <row r="7" spans="1:44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34" t="s">
        <v>1</v>
      </c>
      <c r="AE7" s="239">
        <f>$AR$11&amp;""</f>
      </c>
      <c r="AF7" s="240"/>
      <c r="AG7" s="240"/>
      <c r="AH7" s="240"/>
      <c r="AI7" s="240"/>
      <c r="AJ7" s="240"/>
      <c r="AK7" s="240"/>
      <c r="AL7" s="240"/>
      <c r="AM7" s="240"/>
      <c r="AN7" s="241"/>
      <c r="AO7" s="22"/>
      <c r="AQ7" s="1" t="s">
        <v>122</v>
      </c>
      <c r="AR7" s="10"/>
    </row>
    <row r="8" spans="1:44" ht="25.5" customHeight="1">
      <c r="A8" s="20"/>
      <c r="B8" s="198">
        <f>$AR$47&amp;""</f>
      </c>
      <c r="C8" s="198"/>
      <c r="D8" s="198"/>
      <c r="E8" s="198"/>
      <c r="F8" s="198"/>
      <c r="G8" s="198"/>
      <c r="H8" s="198"/>
      <c r="I8" s="198"/>
      <c r="J8" s="198"/>
      <c r="K8" s="10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"/>
      <c r="AD8" s="81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22"/>
      <c r="AQ8" s="2" t="s">
        <v>97</v>
      </c>
      <c r="AR8" s="10"/>
    </row>
    <row r="9" spans="1:44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32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"/>
      <c r="AD9" s="284" t="s">
        <v>17</v>
      </c>
      <c r="AE9" s="319" t="s">
        <v>53</v>
      </c>
      <c r="AF9" s="320"/>
      <c r="AG9" s="320"/>
      <c r="AH9" s="321"/>
      <c r="AI9" s="97" t="str">
        <f>IF($AR$12&lt;&gt;"",$AR$12,"-")&amp;"/"&amp;$AS$18</f>
        <v>-/-</v>
      </c>
      <c r="AJ9" s="98"/>
      <c r="AK9" s="98"/>
      <c r="AL9" s="98"/>
      <c r="AM9" s="98"/>
      <c r="AN9" s="99"/>
      <c r="AO9" s="22"/>
      <c r="AR9" s="10"/>
    </row>
    <row r="10" spans="1:44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10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"/>
      <c r="AD10" s="303"/>
      <c r="AE10" s="319" t="s">
        <v>201</v>
      </c>
      <c r="AF10" s="320"/>
      <c r="AG10" s="320"/>
      <c r="AH10" s="321"/>
      <c r="AI10" s="97" t="str">
        <f>TEXT(N($AR$17),"#,##0.0#㎡;;-")</f>
        <v>-</v>
      </c>
      <c r="AJ10" s="98"/>
      <c r="AK10" s="98"/>
      <c r="AL10" s="98"/>
      <c r="AM10" s="98"/>
      <c r="AN10" s="99"/>
      <c r="AO10" s="22"/>
      <c r="AR10" s="10"/>
    </row>
    <row r="11" spans="1:44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10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"/>
      <c r="AD11" s="303"/>
      <c r="AE11" s="336" t="s">
        <v>20</v>
      </c>
      <c r="AF11" s="337"/>
      <c r="AG11" s="337"/>
      <c r="AH11" s="338"/>
      <c r="AI11" s="206">
        <f>$AR$16&amp;""</f>
      </c>
      <c r="AJ11" s="207"/>
      <c r="AK11" s="207"/>
      <c r="AL11" s="207"/>
      <c r="AM11" s="207"/>
      <c r="AN11" s="208"/>
      <c r="AO11" s="22"/>
      <c r="AQ11" s="2" t="s">
        <v>101</v>
      </c>
      <c r="AR11" s="10"/>
    </row>
    <row r="12" spans="1:44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32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"/>
      <c r="AD12" s="303"/>
      <c r="AE12" s="343"/>
      <c r="AF12" s="317"/>
      <c r="AG12" s="317"/>
      <c r="AH12" s="318"/>
      <c r="AI12" s="212"/>
      <c r="AJ12" s="213"/>
      <c r="AK12" s="213"/>
      <c r="AL12" s="213"/>
      <c r="AM12" s="213"/>
      <c r="AN12" s="214"/>
      <c r="AO12" s="22"/>
      <c r="AQ12" s="2" t="s">
        <v>102</v>
      </c>
      <c r="AR12" s="10"/>
    </row>
    <row r="13" spans="1:44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32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"/>
      <c r="AD13" s="303"/>
      <c r="AE13" s="339" t="s">
        <v>191</v>
      </c>
      <c r="AF13" s="320"/>
      <c r="AG13" s="320"/>
      <c r="AH13" s="321"/>
      <c r="AI13" s="97" t="str">
        <f>IF(AR14&lt;&gt;"",AR14,"-")</f>
        <v>-</v>
      </c>
      <c r="AJ13" s="98"/>
      <c r="AK13" s="98"/>
      <c r="AL13" s="98"/>
      <c r="AM13" s="98"/>
      <c r="AN13" s="99"/>
      <c r="AO13" s="22"/>
      <c r="AQ13" s="2"/>
      <c r="AR13" s="10"/>
    </row>
    <row r="14" spans="1:44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32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"/>
      <c r="AD14" s="303"/>
      <c r="AE14" s="82" t="s">
        <v>16</v>
      </c>
      <c r="AF14" s="83"/>
      <c r="AG14" s="83"/>
      <c r="AH14" s="84"/>
      <c r="AI14" s="97" t="str">
        <f>IF($AR$39&lt;&gt;"",$AR$39,"-")</f>
        <v>-</v>
      </c>
      <c r="AJ14" s="98"/>
      <c r="AK14" s="98"/>
      <c r="AL14" s="98"/>
      <c r="AM14" s="98"/>
      <c r="AN14" s="99"/>
      <c r="AO14" s="22"/>
      <c r="AQ14" s="2" t="s">
        <v>104</v>
      </c>
      <c r="AR14" s="12"/>
    </row>
    <row r="15" spans="1:44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32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"/>
      <c r="AD15" s="315"/>
      <c r="AE15" s="82" t="s">
        <v>194</v>
      </c>
      <c r="AF15" s="83"/>
      <c r="AG15" s="83"/>
      <c r="AH15" s="84"/>
      <c r="AI15" s="97" t="str">
        <f>IF($AR$40&lt;&gt;"",$AR$40,"-")</f>
        <v>-</v>
      </c>
      <c r="AJ15" s="334"/>
      <c r="AK15" s="334"/>
      <c r="AL15" s="334"/>
      <c r="AM15" s="334"/>
      <c r="AN15" s="335"/>
      <c r="AO15" s="22"/>
      <c r="AQ15" s="2" t="s">
        <v>98</v>
      </c>
      <c r="AR15" s="10"/>
    </row>
    <row r="16" spans="1:44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10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"/>
      <c r="AD16" s="284" t="s">
        <v>2</v>
      </c>
      <c r="AE16" s="319" t="s">
        <v>31</v>
      </c>
      <c r="AF16" s="320"/>
      <c r="AG16" s="320"/>
      <c r="AH16" s="321"/>
      <c r="AI16" s="97" t="str">
        <f>IF($AR$23&lt;&gt;"",$AR$23,"-")</f>
        <v>-</v>
      </c>
      <c r="AJ16" s="334"/>
      <c r="AK16" s="334"/>
      <c r="AL16" s="334"/>
      <c r="AM16" s="334"/>
      <c r="AN16" s="335"/>
      <c r="AO16" s="22"/>
      <c r="AQ16" s="1" t="s">
        <v>20</v>
      </c>
      <c r="AR16" s="10"/>
    </row>
    <row r="17" spans="1:44" ht="15.75" customHeight="1">
      <c r="A17" s="20"/>
      <c r="B17" s="198"/>
      <c r="C17" s="198"/>
      <c r="D17" s="198"/>
      <c r="E17" s="198"/>
      <c r="F17" s="198"/>
      <c r="G17" s="198"/>
      <c r="H17" s="198"/>
      <c r="I17" s="198"/>
      <c r="J17" s="198"/>
      <c r="K17" s="32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"/>
      <c r="AD17" s="130"/>
      <c r="AE17" s="319" t="s">
        <v>156</v>
      </c>
      <c r="AF17" s="322"/>
      <c r="AG17" s="322"/>
      <c r="AH17" s="323"/>
      <c r="AI17" s="97" t="str">
        <f>TEXT(N($AR$24),"#,##0.0#㎡;;-")&amp;IF($AR$25&lt;&gt;""," ("&amp;$AR$25&amp;")","")</f>
        <v>-</v>
      </c>
      <c r="AJ17" s="98"/>
      <c r="AK17" s="98"/>
      <c r="AL17" s="98"/>
      <c r="AM17" s="98"/>
      <c r="AN17" s="99"/>
      <c r="AO17" s="22"/>
      <c r="AQ17" s="1" t="s">
        <v>157</v>
      </c>
      <c r="AR17" s="10"/>
    </row>
    <row r="18" spans="1:45" ht="15.75" customHeight="1">
      <c r="A18" s="20"/>
      <c r="B18" s="198"/>
      <c r="C18" s="198"/>
      <c r="D18" s="198"/>
      <c r="E18" s="198"/>
      <c r="F18" s="198"/>
      <c r="G18" s="198"/>
      <c r="H18" s="198"/>
      <c r="I18" s="198"/>
      <c r="J18" s="198"/>
      <c r="K18" s="32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"/>
      <c r="AD18" s="130"/>
      <c r="AE18" s="227" t="s">
        <v>69</v>
      </c>
      <c r="AF18" s="191"/>
      <c r="AG18" s="191"/>
      <c r="AH18" s="192"/>
      <c r="AI18" s="97" t="str">
        <f>TEXT(N($AR$20),"#,##0.0#㎡;;-")&amp;IF($AR$21&lt;&gt;""," ("&amp;$AR$21&amp;")","")</f>
        <v>-</v>
      </c>
      <c r="AJ18" s="98"/>
      <c r="AK18" s="98"/>
      <c r="AL18" s="98"/>
      <c r="AM18" s="98"/>
      <c r="AN18" s="99"/>
      <c r="AO18" s="22"/>
      <c r="AQ18" s="1" t="s">
        <v>85</v>
      </c>
      <c r="AR18" s="10"/>
      <c r="AS18" s="1" t="str">
        <f>TEXT(N($AR$18),"#階建;;-")</f>
        <v>-</v>
      </c>
    </row>
    <row r="19" spans="1:44" ht="15.75" customHeight="1">
      <c r="A19" s="2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"/>
      <c r="AD19" s="130"/>
      <c r="AE19" s="336" t="s">
        <v>32</v>
      </c>
      <c r="AF19" s="337"/>
      <c r="AG19" s="337"/>
      <c r="AH19" s="338"/>
      <c r="AI19" s="97">
        <f>$AR$32&amp;IF($AR$63&lt;&gt;""," ("&amp;$AR$63&amp;")","")</f>
      </c>
      <c r="AJ19" s="98"/>
      <c r="AK19" s="98"/>
      <c r="AL19" s="98"/>
      <c r="AM19" s="98"/>
      <c r="AN19" s="99"/>
      <c r="AO19" s="22"/>
      <c r="AQ19" s="1" t="s">
        <v>149</v>
      </c>
      <c r="AR19" s="10"/>
    </row>
    <row r="20" spans="1:44" ht="15.75" customHeight="1">
      <c r="A20" s="20"/>
      <c r="B20" s="107"/>
      <c r="C20" s="340"/>
      <c r="D20" s="340"/>
      <c r="E20" s="340"/>
      <c r="F20" s="340"/>
      <c r="G20" s="340"/>
      <c r="H20" s="340"/>
      <c r="I20" s="340"/>
      <c r="J20" s="340"/>
      <c r="K20" s="10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"/>
      <c r="AD20" s="130"/>
      <c r="AE20" s="10"/>
      <c r="AF20" s="10"/>
      <c r="AG20" s="10"/>
      <c r="AH20" s="75"/>
      <c r="AI20" s="97">
        <f>$AR$33&amp;""</f>
      </c>
      <c r="AJ20" s="98"/>
      <c r="AK20" s="98"/>
      <c r="AL20" s="98"/>
      <c r="AM20" s="98"/>
      <c r="AN20" s="99"/>
      <c r="AO20" s="22"/>
      <c r="AQ20" s="1" t="s">
        <v>159</v>
      </c>
      <c r="AR20" s="10"/>
    </row>
    <row r="21" spans="1:44" ht="15.75" customHeight="1">
      <c r="A21" s="20"/>
      <c r="B21" s="340"/>
      <c r="C21" s="340"/>
      <c r="D21" s="340"/>
      <c r="E21" s="340"/>
      <c r="F21" s="340"/>
      <c r="G21" s="340"/>
      <c r="H21" s="340"/>
      <c r="I21" s="340"/>
      <c r="J21" s="340"/>
      <c r="K21" s="10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"/>
      <c r="AD21" s="130"/>
      <c r="AE21" s="88"/>
      <c r="AF21" s="10"/>
      <c r="AG21" s="10"/>
      <c r="AH21" s="75"/>
      <c r="AI21" s="97">
        <f>$AR$34&amp;""</f>
      </c>
      <c r="AJ21" s="98"/>
      <c r="AK21" s="98"/>
      <c r="AL21" s="98"/>
      <c r="AM21" s="98"/>
      <c r="AN21" s="99"/>
      <c r="AO21" s="22"/>
      <c r="AQ21" s="1" t="s">
        <v>160</v>
      </c>
      <c r="AR21" s="12"/>
    </row>
    <row r="22" spans="1:44" ht="15.75" customHeight="1">
      <c r="A22" s="20"/>
      <c r="B22" s="340"/>
      <c r="C22" s="340"/>
      <c r="D22" s="340"/>
      <c r="E22" s="340"/>
      <c r="F22" s="340"/>
      <c r="G22" s="340"/>
      <c r="H22" s="340"/>
      <c r="I22" s="340"/>
      <c r="J22" s="340"/>
      <c r="K22" s="32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"/>
      <c r="AD22" s="130"/>
      <c r="AE22" s="316"/>
      <c r="AF22" s="317"/>
      <c r="AG22" s="317"/>
      <c r="AH22" s="318"/>
      <c r="AI22" s="97">
        <f>$AR$35&amp;""</f>
      </c>
      <c r="AJ22" s="98"/>
      <c r="AK22" s="98"/>
      <c r="AL22" s="98"/>
      <c r="AM22" s="98"/>
      <c r="AN22" s="99"/>
      <c r="AO22" s="22"/>
      <c r="AQ22" s="1" t="s">
        <v>148</v>
      </c>
      <c r="AR22" s="10"/>
    </row>
    <row r="23" spans="1:44" ht="15.75" customHeight="1">
      <c r="A23" s="20"/>
      <c r="B23" s="340"/>
      <c r="C23" s="340"/>
      <c r="D23" s="340"/>
      <c r="E23" s="340"/>
      <c r="F23" s="340"/>
      <c r="G23" s="340"/>
      <c r="H23" s="340"/>
      <c r="I23" s="340"/>
      <c r="J23" s="340"/>
      <c r="K23" s="32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"/>
      <c r="AD23" s="130"/>
      <c r="AE23" s="319" t="s">
        <v>6</v>
      </c>
      <c r="AF23" s="320"/>
      <c r="AG23" s="320"/>
      <c r="AH23" s="321"/>
      <c r="AI23" s="97" t="str">
        <f>IF($AR$26&lt;&gt;"",$AR$26,"-")</f>
        <v>-</v>
      </c>
      <c r="AJ23" s="98"/>
      <c r="AK23" s="98"/>
      <c r="AL23" s="98"/>
      <c r="AM23" s="98"/>
      <c r="AN23" s="99"/>
      <c r="AO23" s="22"/>
      <c r="AQ23" s="1" t="s">
        <v>31</v>
      </c>
      <c r="AR23" s="10"/>
    </row>
    <row r="24" spans="1:44" ht="15.75" customHeight="1">
      <c r="A24" s="20"/>
      <c r="B24" s="340"/>
      <c r="C24" s="340"/>
      <c r="D24" s="340"/>
      <c r="E24" s="340"/>
      <c r="F24" s="340"/>
      <c r="G24" s="340"/>
      <c r="H24" s="340"/>
      <c r="I24" s="340"/>
      <c r="J24" s="340"/>
      <c r="K24" s="10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"/>
      <c r="AD24" s="130"/>
      <c r="AE24" s="85" t="s">
        <v>73</v>
      </c>
      <c r="AF24" s="86"/>
      <c r="AG24" s="86"/>
      <c r="AH24" s="87"/>
      <c r="AI24" s="97" t="str">
        <f>IF($AR$27&lt;&gt;"",$AR$27,"-")</f>
        <v>-</v>
      </c>
      <c r="AJ24" s="98"/>
      <c r="AK24" s="98"/>
      <c r="AL24" s="98"/>
      <c r="AM24" s="98"/>
      <c r="AN24" s="99"/>
      <c r="AO24" s="22"/>
      <c r="AQ24" s="1" t="s">
        <v>161</v>
      </c>
      <c r="AR24" s="10"/>
    </row>
    <row r="25" spans="1:44" ht="15.75" customHeight="1">
      <c r="A25" s="20"/>
      <c r="B25" s="340"/>
      <c r="C25" s="340"/>
      <c r="D25" s="340"/>
      <c r="E25" s="340"/>
      <c r="F25" s="340"/>
      <c r="G25" s="340"/>
      <c r="H25" s="340"/>
      <c r="I25" s="340"/>
      <c r="J25" s="340"/>
      <c r="K25" s="10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"/>
      <c r="AD25" s="130"/>
      <c r="AE25" s="85" t="s">
        <v>66</v>
      </c>
      <c r="AF25" s="86"/>
      <c r="AG25" s="86"/>
      <c r="AH25" s="87"/>
      <c r="AI25" s="97" t="str">
        <f>TEXT(N($AR$28),"#,###,###円""/""月;;-")</f>
        <v>-</v>
      </c>
      <c r="AJ25" s="98"/>
      <c r="AK25" s="98"/>
      <c r="AL25" s="98"/>
      <c r="AM25" s="98"/>
      <c r="AN25" s="99"/>
      <c r="AO25" s="22"/>
      <c r="AQ25" s="1" t="s">
        <v>158</v>
      </c>
      <c r="AR25" s="12"/>
    </row>
    <row r="26" spans="1:44" ht="15.75" customHeight="1">
      <c r="A26" s="20"/>
      <c r="B26" s="340"/>
      <c r="C26" s="340"/>
      <c r="D26" s="340"/>
      <c r="E26" s="340"/>
      <c r="F26" s="340"/>
      <c r="G26" s="340"/>
      <c r="H26" s="340"/>
      <c r="I26" s="340"/>
      <c r="J26" s="340"/>
      <c r="K26" s="1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"/>
      <c r="AD26" s="130"/>
      <c r="AE26" s="82" t="s">
        <v>7</v>
      </c>
      <c r="AF26" s="83"/>
      <c r="AG26" s="83"/>
      <c r="AH26" s="84"/>
      <c r="AI26" s="97" t="str">
        <f>TEXT($AR$29,"#,###,###円""/""月;;-")</f>
        <v>-</v>
      </c>
      <c r="AJ26" s="98"/>
      <c r="AK26" s="98"/>
      <c r="AL26" s="98"/>
      <c r="AM26" s="98"/>
      <c r="AN26" s="99"/>
      <c r="AO26" s="22"/>
      <c r="AQ26" s="1" t="s">
        <v>132</v>
      </c>
      <c r="AR26" s="10"/>
    </row>
    <row r="27" spans="1:44" ht="15.75" customHeight="1">
      <c r="A27" s="20"/>
      <c r="B27" s="340"/>
      <c r="C27" s="340"/>
      <c r="D27" s="340"/>
      <c r="E27" s="340"/>
      <c r="F27" s="340"/>
      <c r="G27" s="340"/>
      <c r="H27" s="340"/>
      <c r="I27" s="340"/>
      <c r="J27" s="340"/>
      <c r="K27" s="10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"/>
      <c r="AD27" s="130"/>
      <c r="AE27" s="82" t="s">
        <v>8</v>
      </c>
      <c r="AF27" s="83"/>
      <c r="AG27" s="83"/>
      <c r="AH27" s="84"/>
      <c r="AI27" s="97" t="str">
        <f>TEXT($AR$30,"#,###,###円""/""月;;-")</f>
        <v>-</v>
      </c>
      <c r="AJ27" s="98"/>
      <c r="AK27" s="98"/>
      <c r="AL27" s="98"/>
      <c r="AM27" s="98"/>
      <c r="AN27" s="99"/>
      <c r="AO27" s="22"/>
      <c r="AQ27" s="1" t="s">
        <v>67</v>
      </c>
      <c r="AR27" s="10"/>
    </row>
    <row r="28" spans="1:44" ht="15.75" customHeight="1">
      <c r="A28" s="20"/>
      <c r="B28" s="340"/>
      <c r="C28" s="340"/>
      <c r="D28" s="340"/>
      <c r="E28" s="340"/>
      <c r="F28" s="340"/>
      <c r="G28" s="340"/>
      <c r="H28" s="340"/>
      <c r="I28" s="340"/>
      <c r="J28" s="340"/>
      <c r="K28" s="10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"/>
      <c r="AD28" s="130"/>
      <c r="AE28" s="82" t="s">
        <v>155</v>
      </c>
      <c r="AF28" s="83"/>
      <c r="AG28" s="83"/>
      <c r="AH28" s="84"/>
      <c r="AI28" s="97" t="str">
        <f>$AS$36&amp;"/"&amp;$AS$37</f>
        <v>-/-</v>
      </c>
      <c r="AJ28" s="98"/>
      <c r="AK28" s="98"/>
      <c r="AL28" s="98"/>
      <c r="AM28" s="98"/>
      <c r="AN28" s="99"/>
      <c r="AO28" s="22"/>
      <c r="AQ28" s="1" t="s">
        <v>66</v>
      </c>
      <c r="AR28" s="10"/>
    </row>
    <row r="29" spans="1:44" ht="15.75" customHeight="1">
      <c r="A29" s="20"/>
      <c r="B29" s="340"/>
      <c r="C29" s="340"/>
      <c r="D29" s="340"/>
      <c r="E29" s="340"/>
      <c r="F29" s="340"/>
      <c r="G29" s="340"/>
      <c r="H29" s="340"/>
      <c r="I29" s="340"/>
      <c r="J29" s="340"/>
      <c r="K29" s="10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"/>
      <c r="AD29" s="130"/>
      <c r="AE29" s="319" t="s">
        <v>28</v>
      </c>
      <c r="AF29" s="320"/>
      <c r="AG29" s="320"/>
      <c r="AH29" s="321"/>
      <c r="AI29" s="97" t="str">
        <f>IF($AR$31&lt;&gt;"",$AR$31,"-")</f>
        <v>-</v>
      </c>
      <c r="AJ29" s="98"/>
      <c r="AK29" s="98"/>
      <c r="AL29" s="98"/>
      <c r="AM29" s="98"/>
      <c r="AN29" s="99"/>
      <c r="AO29" s="22"/>
      <c r="AQ29" s="1" t="s">
        <v>26</v>
      </c>
      <c r="AR29" s="10"/>
    </row>
    <row r="30" spans="1:44" ht="15.75" customHeight="1">
      <c r="A30" s="20"/>
      <c r="B30" s="340"/>
      <c r="C30" s="340"/>
      <c r="D30" s="340"/>
      <c r="E30" s="340"/>
      <c r="F30" s="340"/>
      <c r="G30" s="340"/>
      <c r="H30" s="340"/>
      <c r="I30" s="340"/>
      <c r="J30" s="340"/>
      <c r="K30" s="10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"/>
      <c r="AD30" s="315"/>
      <c r="AE30" s="319" t="s">
        <v>35</v>
      </c>
      <c r="AF30" s="320"/>
      <c r="AG30" s="320"/>
      <c r="AH30" s="321"/>
      <c r="AI30" s="97" t="str">
        <f>IF($AR$38&lt;&gt;"",$AR$38,"-")</f>
        <v>-</v>
      </c>
      <c r="AJ30" s="98"/>
      <c r="AK30" s="98"/>
      <c r="AL30" s="98"/>
      <c r="AM30" s="98"/>
      <c r="AN30" s="99"/>
      <c r="AO30" s="22"/>
      <c r="AQ30" s="1" t="s">
        <v>27</v>
      </c>
      <c r="AR30" s="10"/>
    </row>
    <row r="31" spans="1:44" ht="15.75" customHeight="1">
      <c r="A31" s="20"/>
      <c r="B31" s="340"/>
      <c r="C31" s="340"/>
      <c r="D31" s="340"/>
      <c r="E31" s="340"/>
      <c r="F31" s="340"/>
      <c r="G31" s="340"/>
      <c r="H31" s="340"/>
      <c r="I31" s="340"/>
      <c r="J31" s="340"/>
      <c r="K31" s="10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"/>
      <c r="AD31" s="123" t="s">
        <v>64</v>
      </c>
      <c r="AE31" s="128">
        <f>AR41&amp;IF(AND(AR41&lt;&gt;"",N(AR62)&lt;&gt;0),TEXT(AR62," (#台)"),"")</f>
      </c>
      <c r="AF31" s="129"/>
      <c r="AG31" s="129"/>
      <c r="AH31" s="129"/>
      <c r="AI31" s="129">
        <f>TEXT(N($AR$43),"#,###,###円""/""月;;")</f>
      </c>
      <c r="AJ31" s="129"/>
      <c r="AK31" s="129"/>
      <c r="AL31" s="129">
        <f>IF($AR$42&lt;&gt;"","(距離："&amp;$AR$42&amp;")","")</f>
      </c>
      <c r="AM31" s="129"/>
      <c r="AN31" s="143"/>
      <c r="AO31" s="22"/>
      <c r="AQ31" s="2" t="s">
        <v>28</v>
      </c>
      <c r="AR31" s="10"/>
    </row>
    <row r="32" spans="1:44" ht="15.75" customHeight="1">
      <c r="A32" s="20"/>
      <c r="B32" s="340"/>
      <c r="C32" s="340"/>
      <c r="D32" s="340"/>
      <c r="E32" s="340"/>
      <c r="F32" s="340"/>
      <c r="G32" s="340"/>
      <c r="H32" s="340"/>
      <c r="I32" s="340"/>
      <c r="J32" s="340"/>
      <c r="K32" s="10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"/>
      <c r="AD32" s="124"/>
      <c r="AE32" s="97">
        <f>$AR$44&amp;""</f>
      </c>
      <c r="AF32" s="98"/>
      <c r="AG32" s="98"/>
      <c r="AH32" s="98"/>
      <c r="AI32" s="98"/>
      <c r="AJ32" s="98"/>
      <c r="AK32" s="98"/>
      <c r="AL32" s="98"/>
      <c r="AM32" s="98"/>
      <c r="AN32" s="99"/>
      <c r="AO32" s="22"/>
      <c r="AQ32" s="1" t="s">
        <v>128</v>
      </c>
      <c r="AR32" s="10"/>
    </row>
    <row r="33" spans="1:44" ht="15.75" customHeight="1">
      <c r="A33" s="20"/>
      <c r="B33" s="340"/>
      <c r="C33" s="340"/>
      <c r="D33" s="340"/>
      <c r="E33" s="340"/>
      <c r="F33" s="340"/>
      <c r="G33" s="340"/>
      <c r="H33" s="340"/>
      <c r="I33" s="340"/>
      <c r="J33" s="340"/>
      <c r="K33" s="10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"/>
      <c r="AD33" s="284" t="s">
        <v>12</v>
      </c>
      <c r="AE33" s="325">
        <f>IF($AR$45&lt;&gt;"",$AR$45&amp;CHAR(10),"")&amp;$AR$65</f>
      </c>
      <c r="AF33" s="326"/>
      <c r="AG33" s="326"/>
      <c r="AH33" s="326"/>
      <c r="AI33" s="326"/>
      <c r="AJ33" s="326"/>
      <c r="AK33" s="326"/>
      <c r="AL33" s="326"/>
      <c r="AM33" s="326"/>
      <c r="AN33" s="327"/>
      <c r="AO33" s="22"/>
      <c r="AQ33" s="2" t="s">
        <v>129</v>
      </c>
      <c r="AR33" s="10"/>
    </row>
    <row r="34" spans="1:44" ht="15.75" customHeight="1">
      <c r="A34" s="20"/>
      <c r="B34" s="340"/>
      <c r="C34" s="340"/>
      <c r="D34" s="340"/>
      <c r="E34" s="340"/>
      <c r="F34" s="340"/>
      <c r="G34" s="340"/>
      <c r="H34" s="340"/>
      <c r="I34" s="340"/>
      <c r="J34" s="340"/>
      <c r="K34" s="10"/>
      <c r="L34" s="219">
        <f>$AR$60&amp;""</f>
      </c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10"/>
      <c r="AD34" s="303"/>
      <c r="AE34" s="328"/>
      <c r="AF34" s="329"/>
      <c r="AG34" s="329"/>
      <c r="AH34" s="329"/>
      <c r="AI34" s="329"/>
      <c r="AJ34" s="329"/>
      <c r="AK34" s="329"/>
      <c r="AL34" s="329"/>
      <c r="AM34" s="329"/>
      <c r="AN34" s="330"/>
      <c r="AO34" s="22"/>
      <c r="AQ34" s="2" t="s">
        <v>130</v>
      </c>
      <c r="AR34" s="10"/>
    </row>
    <row r="35" spans="1:44" ht="15.75" customHeight="1">
      <c r="A35" s="20"/>
      <c r="B35" s="340"/>
      <c r="C35" s="340"/>
      <c r="D35" s="340"/>
      <c r="E35" s="340"/>
      <c r="F35" s="340"/>
      <c r="G35" s="340"/>
      <c r="H35" s="340"/>
      <c r="I35" s="340"/>
      <c r="J35" s="340"/>
      <c r="K35" s="1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10"/>
      <c r="AD35" s="303"/>
      <c r="AE35" s="328"/>
      <c r="AF35" s="329"/>
      <c r="AG35" s="329"/>
      <c r="AH35" s="329"/>
      <c r="AI35" s="329"/>
      <c r="AJ35" s="329"/>
      <c r="AK35" s="329"/>
      <c r="AL35" s="329"/>
      <c r="AM35" s="329"/>
      <c r="AN35" s="330"/>
      <c r="AO35" s="22"/>
      <c r="AQ35" s="2" t="s">
        <v>131</v>
      </c>
      <c r="AR35" s="10"/>
    </row>
    <row r="36" spans="1:45" ht="15.75" customHeight="1">
      <c r="A36" s="20"/>
      <c r="B36" s="340"/>
      <c r="C36" s="340"/>
      <c r="D36" s="340"/>
      <c r="E36" s="340"/>
      <c r="F36" s="340"/>
      <c r="G36" s="340"/>
      <c r="H36" s="340"/>
      <c r="I36" s="340"/>
      <c r="J36" s="340"/>
      <c r="K36" s="10"/>
      <c r="L36" s="89">
        <f>IF(L37&lt;&gt;"","備考","")</f>
      </c>
      <c r="M36" s="9"/>
      <c r="N36" s="89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10"/>
      <c r="AC36" s="10"/>
      <c r="AD36" s="303"/>
      <c r="AE36" s="328"/>
      <c r="AF36" s="329"/>
      <c r="AG36" s="329"/>
      <c r="AH36" s="329"/>
      <c r="AI36" s="329"/>
      <c r="AJ36" s="329"/>
      <c r="AK36" s="329"/>
      <c r="AL36" s="329"/>
      <c r="AM36" s="329"/>
      <c r="AN36" s="330"/>
      <c r="AO36" s="22"/>
      <c r="AQ36" s="1" t="s">
        <v>33</v>
      </c>
      <c r="AR36" s="10"/>
      <c r="AS36" s="1" t="str">
        <f>IF(N($AR$36),$AR$36&amp;"%","-")</f>
        <v>-</v>
      </c>
    </row>
    <row r="37" spans="1:45" ht="15.75" customHeight="1">
      <c r="A37" s="20"/>
      <c r="B37" s="340"/>
      <c r="C37" s="340"/>
      <c r="D37" s="340"/>
      <c r="E37" s="340"/>
      <c r="F37" s="340"/>
      <c r="G37" s="340"/>
      <c r="H37" s="340"/>
      <c r="I37" s="340"/>
      <c r="J37" s="340"/>
      <c r="K37" s="10"/>
      <c r="L37" s="219">
        <f>$AR$46&amp;IF($AR$64&lt;&gt;"",CHAR(10)&amp;$AR$64,"")</f>
      </c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10"/>
      <c r="AD37" s="303"/>
      <c r="AE37" s="328"/>
      <c r="AF37" s="329"/>
      <c r="AG37" s="329"/>
      <c r="AH37" s="329"/>
      <c r="AI37" s="329"/>
      <c r="AJ37" s="329"/>
      <c r="AK37" s="329"/>
      <c r="AL37" s="329"/>
      <c r="AM37" s="329"/>
      <c r="AN37" s="330"/>
      <c r="AO37" s="22"/>
      <c r="AQ37" s="1" t="s">
        <v>34</v>
      </c>
      <c r="AR37" s="10"/>
      <c r="AS37" s="1" t="str">
        <f>IF(N($AR$37),$AR$37&amp;"%","-")</f>
        <v>-</v>
      </c>
    </row>
    <row r="38" spans="1:44" ht="15.75" customHeight="1">
      <c r="A38" s="20"/>
      <c r="B38" s="340"/>
      <c r="C38" s="340"/>
      <c r="D38" s="340"/>
      <c r="E38" s="340"/>
      <c r="F38" s="340"/>
      <c r="G38" s="340"/>
      <c r="H38" s="340"/>
      <c r="I38" s="340"/>
      <c r="J38" s="340"/>
      <c r="K38" s="1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10"/>
      <c r="AD38" s="304"/>
      <c r="AE38" s="331"/>
      <c r="AF38" s="332"/>
      <c r="AG38" s="332"/>
      <c r="AH38" s="332"/>
      <c r="AI38" s="332"/>
      <c r="AJ38" s="332"/>
      <c r="AK38" s="332"/>
      <c r="AL38" s="332"/>
      <c r="AM38" s="332"/>
      <c r="AN38" s="333"/>
      <c r="AO38" s="22"/>
      <c r="AQ38" s="1" t="s">
        <v>35</v>
      </c>
      <c r="AR38" s="10"/>
    </row>
    <row r="39" spans="1:44" ht="15.75" customHeight="1">
      <c r="A39" s="20"/>
      <c r="B39" s="341">
        <f>$AR$61&amp;""</f>
      </c>
      <c r="C39" s="341"/>
      <c r="D39" s="341"/>
      <c r="E39" s="341"/>
      <c r="F39" s="341"/>
      <c r="G39" s="341"/>
      <c r="H39" s="341"/>
      <c r="I39" s="341"/>
      <c r="J39" s="341"/>
      <c r="K39" s="1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10"/>
      <c r="AD39" s="125" t="s">
        <v>13</v>
      </c>
      <c r="AE39" s="126"/>
      <c r="AF39" s="126"/>
      <c r="AG39" s="126"/>
      <c r="AH39" s="127"/>
      <c r="AI39" s="97">
        <f>$AR$48&amp;""</f>
      </c>
      <c r="AJ39" s="100"/>
      <c r="AK39" s="100"/>
      <c r="AL39" s="100"/>
      <c r="AM39" s="100"/>
      <c r="AN39" s="101"/>
      <c r="AO39" s="22"/>
      <c r="AQ39" s="2" t="s">
        <v>109</v>
      </c>
      <c r="AR39" s="10"/>
    </row>
    <row r="40" spans="1:44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10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  <c r="AQ40" s="2" t="s">
        <v>110</v>
      </c>
      <c r="AR40" s="12"/>
    </row>
    <row r="41" spans="1:44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 t="s">
        <v>50</v>
      </c>
      <c r="O41" s="9"/>
      <c r="P41" s="9"/>
      <c r="Q41" s="9"/>
      <c r="R41" s="9"/>
      <c r="S41" s="9"/>
      <c r="T41" s="9"/>
      <c r="U41" s="9"/>
      <c r="V41" s="9"/>
      <c r="W41" s="9" t="s">
        <v>56</v>
      </c>
      <c r="X41" s="9"/>
      <c r="Y41" s="9"/>
      <c r="Z41" s="9"/>
      <c r="AA41" s="9"/>
      <c r="AB41" s="42"/>
      <c r="AC41" s="42"/>
      <c r="AD41" s="43"/>
      <c r="AE41" s="42"/>
      <c r="AF41" s="9"/>
      <c r="AG41" s="9"/>
      <c r="AH41" s="9"/>
      <c r="AI41" s="9"/>
      <c r="AJ41" s="9"/>
      <c r="AK41" s="9"/>
      <c r="AL41" s="9"/>
      <c r="AM41" s="9"/>
      <c r="AN41" s="44"/>
      <c r="AO41" s="45" t="s">
        <v>74</v>
      </c>
      <c r="AQ41" s="1" t="s">
        <v>162</v>
      </c>
      <c r="AR41" s="10"/>
    </row>
    <row r="42" spans="1:44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Q42" s="1" t="s">
        <v>179</v>
      </c>
      <c r="AR42" s="10"/>
    </row>
    <row r="43" spans="1:44" ht="15.75" customHeight="1">
      <c r="A43" s="20"/>
      <c r="B43" s="145">
        <f>$AR$49&amp;""</f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>
        <f>IF($AR$52&lt;&gt;"","TEL "&amp;$AR$52,"")</f>
      </c>
      <c r="U43" s="150"/>
      <c r="V43" s="150"/>
      <c r="W43" s="150"/>
      <c r="X43" s="150"/>
      <c r="Y43" s="150"/>
      <c r="Z43" s="150"/>
      <c r="AA43" s="150"/>
      <c r="AB43" s="150"/>
      <c r="AC43" s="46"/>
      <c r="AD43" s="10"/>
      <c r="AE43" s="10"/>
      <c r="AF43" s="10"/>
      <c r="AG43" s="10"/>
      <c r="AH43" s="10"/>
      <c r="AI43" s="10"/>
      <c r="AJ43" s="10"/>
      <c r="AK43" s="10"/>
      <c r="AL43" s="10"/>
      <c r="AM43" s="31"/>
      <c r="AN43" s="31"/>
      <c r="AO43" s="22"/>
      <c r="AQ43" s="1" t="s">
        <v>163</v>
      </c>
      <c r="AR43" s="10"/>
    </row>
    <row r="44" spans="1:44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10"/>
      <c r="AE44" s="10"/>
      <c r="AF44" s="10"/>
      <c r="AG44" s="141" t="s">
        <v>42</v>
      </c>
      <c r="AH44" s="142"/>
      <c r="AI44" s="142"/>
      <c r="AJ44" s="133">
        <f>$AR$57&amp;""</f>
      </c>
      <c r="AK44" s="294"/>
      <c r="AL44" s="294"/>
      <c r="AM44" s="77">
        <f>IF($AR$58&lt;&gt;"",$AR$58,"")</f>
      </c>
      <c r="AN44" s="31"/>
      <c r="AO44" s="22"/>
      <c r="AQ44" s="2" t="s">
        <v>123</v>
      </c>
      <c r="AR44" s="10"/>
    </row>
    <row r="45" spans="1:44" ht="18.75" customHeight="1">
      <c r="A45" s="20"/>
      <c r="B45" s="52"/>
      <c r="C45" s="152">
        <f>$AR$50&amp;""</f>
      </c>
      <c r="D45" s="152"/>
      <c r="E45" s="152"/>
      <c r="F45" s="152">
        <f>$AR$51&amp;""</f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0"/>
      <c r="T45" s="149">
        <f>IF($AR$53&lt;&gt;"","FAX  "&amp;$AR$53,"")</f>
      </c>
      <c r="U45" s="149"/>
      <c r="V45" s="149"/>
      <c r="W45" s="149"/>
      <c r="X45" s="149"/>
      <c r="Y45" s="149"/>
      <c r="Z45" s="149"/>
      <c r="AA45" s="149"/>
      <c r="AB45" s="149"/>
      <c r="AC45" s="10"/>
      <c r="AD45" s="10"/>
      <c r="AE45" s="10"/>
      <c r="AF45" s="10"/>
      <c r="AG45" s="141" t="s">
        <v>52</v>
      </c>
      <c r="AH45" s="142"/>
      <c r="AI45" s="142"/>
      <c r="AJ45" s="133" t="str">
        <f>IF(ISNUMBER($AR$59),$AR$59&amp;"%",IF($AR$59&lt;&gt;"",$AR$59,"-"))</f>
        <v>-</v>
      </c>
      <c r="AK45" s="295"/>
      <c r="AL45" s="295"/>
      <c r="AM45" s="296"/>
      <c r="AN45" s="31"/>
      <c r="AO45" s="22"/>
      <c r="AQ45" s="2" t="s">
        <v>112</v>
      </c>
      <c r="AR45" s="10"/>
    </row>
    <row r="46" spans="1:44" ht="7.5" customHeight="1">
      <c r="A46" s="20"/>
      <c r="B46" s="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31"/>
      <c r="AG46" s="31"/>
      <c r="AH46" s="31"/>
      <c r="AI46" s="31"/>
      <c r="AJ46" s="31"/>
      <c r="AK46" s="31"/>
      <c r="AL46" s="53"/>
      <c r="AM46" s="31"/>
      <c r="AN46" s="31"/>
      <c r="AO46" s="22"/>
      <c r="AQ46" s="2" t="s">
        <v>55</v>
      </c>
      <c r="AR46" s="10"/>
    </row>
    <row r="47" spans="1:44" ht="18.75" customHeight="1" thickBot="1">
      <c r="A47" s="36"/>
      <c r="B47" s="54"/>
      <c r="C47" s="144">
        <f>$AR$54&amp;""</f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37"/>
      <c r="T47" s="148">
        <f>$AR$55&amp;""</f>
      </c>
      <c r="U47" s="148"/>
      <c r="V47" s="148"/>
      <c r="W47" s="148"/>
      <c r="X47" s="148"/>
      <c r="Y47" s="148"/>
      <c r="Z47" s="148"/>
      <c r="AA47" s="148"/>
      <c r="AB47" s="37"/>
      <c r="AC47" s="37"/>
      <c r="AD47" s="37"/>
      <c r="AE47" s="301" t="s">
        <v>49</v>
      </c>
      <c r="AF47" s="301"/>
      <c r="AG47" s="301"/>
      <c r="AH47" s="301"/>
      <c r="AI47" s="300">
        <f>TEXT($AR$56,"YYYY年MM月DD日;;")</f>
      </c>
      <c r="AJ47" s="300"/>
      <c r="AK47" s="300"/>
      <c r="AL47" s="300"/>
      <c r="AM47" s="300"/>
      <c r="AN47" s="300"/>
      <c r="AO47" s="40"/>
      <c r="AQ47" s="2" t="s">
        <v>117</v>
      </c>
      <c r="AR47" s="10"/>
    </row>
    <row r="48" spans="43:44" ht="14.25">
      <c r="AQ48" s="2" t="s">
        <v>113</v>
      </c>
      <c r="AR48" s="10"/>
    </row>
    <row r="49" spans="43:44" ht="14.25">
      <c r="AQ49" s="2" t="s">
        <v>114</v>
      </c>
      <c r="AR49" s="10"/>
    </row>
    <row r="50" spans="43:44" ht="14.25">
      <c r="AQ50" s="1" t="s">
        <v>118</v>
      </c>
      <c r="AR50" s="10"/>
    </row>
    <row r="51" spans="43:44" ht="14.25">
      <c r="AQ51" s="1" t="s">
        <v>115</v>
      </c>
      <c r="AR51" s="10"/>
    </row>
    <row r="52" spans="43:44" ht="14.25">
      <c r="AQ52" s="1" t="s">
        <v>119</v>
      </c>
      <c r="AR52" s="10"/>
    </row>
    <row r="53" spans="43:44" ht="14.25">
      <c r="AQ53" s="1" t="s">
        <v>120</v>
      </c>
      <c r="AR53" s="10"/>
    </row>
    <row r="54" spans="43:44" ht="14.25">
      <c r="AQ54" s="1" t="s">
        <v>121</v>
      </c>
      <c r="AR54" s="10"/>
    </row>
    <row r="55" spans="43:44" ht="14.25">
      <c r="AQ55" s="1" t="s">
        <v>124</v>
      </c>
      <c r="AR55" s="10"/>
    </row>
    <row r="56" spans="43:44" ht="14.25">
      <c r="AQ56" s="1" t="s">
        <v>116</v>
      </c>
      <c r="AR56" s="10"/>
    </row>
    <row r="57" spans="43:44" ht="14.25">
      <c r="AQ57" s="1" t="s">
        <v>136</v>
      </c>
      <c r="AR57" s="10"/>
    </row>
    <row r="58" spans="43:44" ht="14.25">
      <c r="AQ58" s="1" t="s">
        <v>135</v>
      </c>
      <c r="AR58" s="10"/>
    </row>
    <row r="59" spans="43:44" ht="14.25">
      <c r="AQ59" s="1" t="s">
        <v>77</v>
      </c>
      <c r="AR59" s="10"/>
    </row>
    <row r="60" spans="43:44" ht="14.25">
      <c r="AQ60" s="1" t="s">
        <v>141</v>
      </c>
      <c r="AR60" s="10"/>
    </row>
    <row r="61" spans="43:44" ht="14.25">
      <c r="AQ61" s="1" t="s">
        <v>142</v>
      </c>
      <c r="AR61" s="10"/>
    </row>
    <row r="62" spans="43:44" ht="14.25">
      <c r="AQ62" s="1" t="s">
        <v>204</v>
      </c>
      <c r="AR62" s="10"/>
    </row>
    <row r="63" spans="43:44" ht="14.25">
      <c r="AQ63" s="1" t="s">
        <v>32</v>
      </c>
      <c r="AR63" s="10"/>
    </row>
    <row r="64" spans="43:44" ht="14.25">
      <c r="AQ64" s="1" t="s">
        <v>173</v>
      </c>
      <c r="AR64" s="10"/>
    </row>
    <row r="65" spans="43:44" ht="14.25">
      <c r="AQ65" s="1" t="s">
        <v>172</v>
      </c>
      <c r="AR65" s="10"/>
    </row>
    <row r="66" ht="14.25">
      <c r="AR66" s="10"/>
    </row>
  </sheetData>
  <sheetProtection/>
  <mergeCells count="76">
    <mergeCell ref="AI16:AN16"/>
    <mergeCell ref="AF5:AK6"/>
    <mergeCell ref="AL5:AN6"/>
    <mergeCell ref="AI11:AN12"/>
    <mergeCell ref="AE11:AH11"/>
    <mergeCell ref="AE12:AH12"/>
    <mergeCell ref="AE10:AH10"/>
    <mergeCell ref="C47:R47"/>
    <mergeCell ref="C45:E45"/>
    <mergeCell ref="F45:R45"/>
    <mergeCell ref="T45:AB45"/>
    <mergeCell ref="T47:AA47"/>
    <mergeCell ref="AI17:AN17"/>
    <mergeCell ref="AI18:AN18"/>
    <mergeCell ref="AI21:AN21"/>
    <mergeCell ref="AI19:AN19"/>
    <mergeCell ref="B43:S44"/>
    <mergeCell ref="S2:S6"/>
    <mergeCell ref="B20:J38"/>
    <mergeCell ref="L37:AB39"/>
    <mergeCell ref="L8:AB33"/>
    <mergeCell ref="T43:AB44"/>
    <mergeCell ref="B39:J39"/>
    <mergeCell ref="B8:J18"/>
    <mergeCell ref="L34:AB35"/>
    <mergeCell ref="Z5:AB6"/>
    <mergeCell ref="AE30:AH30"/>
    <mergeCell ref="AI30:AN30"/>
    <mergeCell ref="AE19:AH19"/>
    <mergeCell ref="AE9:AH9"/>
    <mergeCell ref="L2:R6"/>
    <mergeCell ref="B2:J6"/>
    <mergeCell ref="AI10:AN10"/>
    <mergeCell ref="AD9:AD15"/>
    <mergeCell ref="AE13:AH13"/>
    <mergeCell ref="AI9:AN9"/>
    <mergeCell ref="AE33:AN38"/>
    <mergeCell ref="AE32:AN32"/>
    <mergeCell ref="AI14:AN14"/>
    <mergeCell ref="AI26:AN26"/>
    <mergeCell ref="AI27:AN27"/>
    <mergeCell ref="AI28:AN28"/>
    <mergeCell ref="AL31:AN31"/>
    <mergeCell ref="AE31:AH31"/>
    <mergeCell ref="AI20:AN20"/>
    <mergeCell ref="AI15:AN15"/>
    <mergeCell ref="AE29:AH29"/>
    <mergeCell ref="AE16:AH16"/>
    <mergeCell ref="AE17:AH17"/>
    <mergeCell ref="T2:Y6"/>
    <mergeCell ref="Z2:AB4"/>
    <mergeCell ref="AE7:AN7"/>
    <mergeCell ref="AD2:AI4"/>
    <mergeCell ref="AJ2:AN4"/>
    <mergeCell ref="AI13:AN13"/>
    <mergeCell ref="AD5:AE6"/>
    <mergeCell ref="AI22:AN22"/>
    <mergeCell ref="AI23:AN23"/>
    <mergeCell ref="AI24:AN24"/>
    <mergeCell ref="AI25:AN25"/>
    <mergeCell ref="AD31:AD32"/>
    <mergeCell ref="AD33:AD38"/>
    <mergeCell ref="AD16:AD30"/>
    <mergeCell ref="AE18:AH18"/>
    <mergeCell ref="AE22:AH22"/>
    <mergeCell ref="AE23:AH23"/>
    <mergeCell ref="AI29:AN29"/>
    <mergeCell ref="AI39:AN39"/>
    <mergeCell ref="AI31:AK31"/>
    <mergeCell ref="AE47:AH47"/>
    <mergeCell ref="AI47:AN47"/>
    <mergeCell ref="AJ44:AL44"/>
    <mergeCell ref="AG45:AI45"/>
    <mergeCell ref="AJ45:AM45"/>
    <mergeCell ref="AG44:AI44"/>
    <mergeCell ref="AD39:AH39"/>
  </mergeCells>
  <printOptions horizontalCentered="1"/>
  <pageMargins left="0.3937007874015748" right="0.3937007874015748" top="0.35433070866141736" bottom="0.2362204724409449" header="0.1968503937007874" footer="0.1968503937007874"/>
  <pageSetup horizontalDpi="600" verticalDpi="600" orientation="landscape" paperSize="1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73"/>
  <sheetViews>
    <sheetView view="pageBreakPreview" zoomScale="75" zoomScaleNormal="50" zoomScaleSheetLayoutView="75" zoomScalePageLayoutView="0" workbookViewId="0" topLeftCell="A1">
      <selection activeCell="M41" sqref="M41"/>
    </sheetView>
  </sheetViews>
  <sheetFormatPr defaultColWidth="6.50390625" defaultRowHeight="13.5"/>
  <cols>
    <col min="1" max="1" width="1.00390625" style="1" customWidth="1"/>
    <col min="2" max="10" width="4.50390625" style="1" customWidth="1"/>
    <col min="11" max="11" width="1.25" style="1" customWidth="1"/>
    <col min="12" max="28" width="4.50390625" style="1" customWidth="1"/>
    <col min="29" max="29" width="1.25" style="1" customWidth="1"/>
    <col min="30" max="30" width="7.125" style="1" customWidth="1"/>
    <col min="31" max="36" width="4.50390625" style="1" customWidth="1"/>
    <col min="37" max="37" width="5.375" style="1" customWidth="1"/>
    <col min="38" max="39" width="4.50390625" style="1" customWidth="1"/>
    <col min="40" max="40" width="5.375" style="1" customWidth="1"/>
    <col min="41" max="41" width="1.875" style="1" customWidth="1"/>
    <col min="42" max="42" width="4.50390625" style="1" hidden="1" customWidth="1"/>
    <col min="43" max="43" width="15.625" style="1" hidden="1" customWidth="1"/>
    <col min="44" max="44" width="11.625" style="1" hidden="1" customWidth="1"/>
    <col min="45" max="45" width="14.50390625" style="1" hidden="1" customWidth="1"/>
    <col min="46" max="49" width="6.50390625" style="1" hidden="1" customWidth="1"/>
    <col min="50" max="16384" width="6.50390625" style="1" customWidth="1"/>
  </cols>
  <sheetData>
    <row r="1" spans="1:41" ht="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</row>
    <row r="2" spans="1:44" ht="14.25" customHeight="1">
      <c r="A2" s="20"/>
      <c r="B2" s="153">
        <f>IF($AR$7&lt;&gt;"","売買"&amp;$AR$7,"")</f>
      </c>
      <c r="C2" s="154"/>
      <c r="D2" s="154"/>
      <c r="E2" s="154"/>
      <c r="F2" s="154"/>
      <c r="G2" s="154"/>
      <c r="H2" s="154"/>
      <c r="I2" s="154"/>
      <c r="J2" s="159"/>
      <c r="K2" s="55"/>
      <c r="L2" s="153">
        <f>TEXT(ROUNDDOWN(N($AR$11)*0.3025,2),"#,##0.0#坪;;")</f>
      </c>
      <c r="M2" s="154"/>
      <c r="N2" s="154"/>
      <c r="O2" s="154"/>
      <c r="P2" s="154"/>
      <c r="Q2" s="245"/>
      <c r="R2" s="246"/>
      <c r="S2" s="365" t="s">
        <v>63</v>
      </c>
      <c r="T2" s="153">
        <f>TEXT(ROUNDUP(N($AR$15)/10000,0),"#,###,###;;")</f>
      </c>
      <c r="U2" s="154"/>
      <c r="V2" s="154"/>
      <c r="W2" s="154"/>
      <c r="X2" s="154"/>
      <c r="Y2" s="154"/>
      <c r="Z2" s="154" t="s">
        <v>65</v>
      </c>
      <c r="AA2" s="154"/>
      <c r="AB2" s="159"/>
      <c r="AC2" s="56"/>
      <c r="AD2" s="178">
        <f>$AR$2&amp;""</f>
      </c>
      <c r="AE2" s="179"/>
      <c r="AF2" s="179"/>
      <c r="AG2" s="179"/>
      <c r="AH2" s="179"/>
      <c r="AI2" s="179"/>
      <c r="AJ2" s="184">
        <f>$AR$3&amp;""</f>
      </c>
      <c r="AK2" s="184"/>
      <c r="AL2" s="184"/>
      <c r="AM2" s="184"/>
      <c r="AN2" s="185"/>
      <c r="AO2" s="22"/>
      <c r="AQ2" s="2" t="s">
        <v>99</v>
      </c>
      <c r="AR2" s="2"/>
    </row>
    <row r="3" spans="1:44" ht="14.25" customHeight="1">
      <c r="A3" s="20"/>
      <c r="B3" s="155"/>
      <c r="C3" s="156"/>
      <c r="D3" s="156"/>
      <c r="E3" s="156"/>
      <c r="F3" s="156"/>
      <c r="G3" s="156"/>
      <c r="H3" s="156"/>
      <c r="I3" s="156"/>
      <c r="J3" s="160"/>
      <c r="K3" s="55"/>
      <c r="L3" s="155"/>
      <c r="M3" s="156"/>
      <c r="N3" s="156"/>
      <c r="O3" s="156"/>
      <c r="P3" s="156"/>
      <c r="Q3" s="247"/>
      <c r="R3" s="248"/>
      <c r="S3" s="366"/>
      <c r="T3" s="155"/>
      <c r="U3" s="156"/>
      <c r="V3" s="156"/>
      <c r="W3" s="156"/>
      <c r="X3" s="156"/>
      <c r="Y3" s="156"/>
      <c r="Z3" s="156"/>
      <c r="AA3" s="156"/>
      <c r="AB3" s="160"/>
      <c r="AC3" s="56"/>
      <c r="AD3" s="180"/>
      <c r="AE3" s="181"/>
      <c r="AF3" s="181"/>
      <c r="AG3" s="181"/>
      <c r="AH3" s="181"/>
      <c r="AI3" s="181"/>
      <c r="AJ3" s="186"/>
      <c r="AK3" s="186"/>
      <c r="AL3" s="186"/>
      <c r="AM3" s="186"/>
      <c r="AN3" s="187"/>
      <c r="AO3" s="22"/>
      <c r="AQ3" s="2" t="s">
        <v>100</v>
      </c>
      <c r="AR3" s="2"/>
    </row>
    <row r="4" spans="1:44" ht="14.25" customHeight="1">
      <c r="A4" s="20"/>
      <c r="B4" s="155"/>
      <c r="C4" s="156"/>
      <c r="D4" s="156"/>
      <c r="E4" s="156"/>
      <c r="F4" s="156"/>
      <c r="G4" s="156"/>
      <c r="H4" s="156"/>
      <c r="I4" s="156"/>
      <c r="J4" s="160"/>
      <c r="K4" s="55"/>
      <c r="L4" s="155"/>
      <c r="M4" s="156"/>
      <c r="N4" s="156"/>
      <c r="O4" s="156"/>
      <c r="P4" s="156"/>
      <c r="Q4" s="247"/>
      <c r="R4" s="248"/>
      <c r="S4" s="366"/>
      <c r="T4" s="155"/>
      <c r="U4" s="156"/>
      <c r="V4" s="156"/>
      <c r="W4" s="156"/>
      <c r="X4" s="156"/>
      <c r="Y4" s="156"/>
      <c r="Z4" s="156"/>
      <c r="AA4" s="156"/>
      <c r="AB4" s="160"/>
      <c r="AC4" s="56"/>
      <c r="AD4" s="180"/>
      <c r="AE4" s="181"/>
      <c r="AF4" s="181"/>
      <c r="AG4" s="181"/>
      <c r="AH4" s="181"/>
      <c r="AI4" s="181"/>
      <c r="AJ4" s="186"/>
      <c r="AK4" s="186"/>
      <c r="AL4" s="186"/>
      <c r="AM4" s="186"/>
      <c r="AN4" s="187"/>
      <c r="AO4" s="22"/>
      <c r="AQ4" s="1" t="s">
        <v>78</v>
      </c>
      <c r="AR4" s="2"/>
    </row>
    <row r="5" spans="1:44" ht="11.25" customHeight="1">
      <c r="A5" s="20"/>
      <c r="B5" s="155"/>
      <c r="C5" s="156"/>
      <c r="D5" s="156"/>
      <c r="E5" s="156"/>
      <c r="F5" s="156"/>
      <c r="G5" s="156"/>
      <c r="H5" s="156"/>
      <c r="I5" s="156"/>
      <c r="J5" s="160"/>
      <c r="K5" s="55"/>
      <c r="L5" s="155"/>
      <c r="M5" s="156"/>
      <c r="N5" s="156"/>
      <c r="O5" s="156"/>
      <c r="P5" s="156"/>
      <c r="Q5" s="247"/>
      <c r="R5" s="248"/>
      <c r="S5" s="366"/>
      <c r="T5" s="155"/>
      <c r="U5" s="156"/>
      <c r="V5" s="156"/>
      <c r="W5" s="156"/>
      <c r="X5" s="156"/>
      <c r="Y5" s="156"/>
      <c r="Z5" s="305">
        <f>AR16&amp;""</f>
      </c>
      <c r="AA5" s="305"/>
      <c r="AB5" s="306"/>
      <c r="AC5" s="56"/>
      <c r="AD5" s="165">
        <f>TEXT($AR$4,"バス#分;;")</f>
      </c>
      <c r="AE5" s="166"/>
      <c r="AF5" s="166">
        <f>IF($AR$5&lt;&gt;"",$AR$5&amp;"下車","")</f>
      </c>
      <c r="AG5" s="182"/>
      <c r="AH5" s="182"/>
      <c r="AI5" s="182"/>
      <c r="AJ5" s="182"/>
      <c r="AK5" s="182"/>
      <c r="AL5" s="166">
        <f>TEXT(ROUNDUP(N($AR$6)/80,0),"徒歩#分;;")</f>
      </c>
      <c r="AM5" s="166"/>
      <c r="AN5" s="188"/>
      <c r="AO5" s="22"/>
      <c r="AQ5" s="1" t="s">
        <v>79</v>
      </c>
      <c r="AR5" s="2"/>
    </row>
    <row r="6" spans="1:44" ht="11.25" customHeight="1">
      <c r="A6" s="20"/>
      <c r="B6" s="157"/>
      <c r="C6" s="158"/>
      <c r="D6" s="158"/>
      <c r="E6" s="158"/>
      <c r="F6" s="158"/>
      <c r="G6" s="158"/>
      <c r="H6" s="158"/>
      <c r="I6" s="158"/>
      <c r="J6" s="161"/>
      <c r="K6" s="55"/>
      <c r="L6" s="157"/>
      <c r="M6" s="158"/>
      <c r="N6" s="158"/>
      <c r="O6" s="158"/>
      <c r="P6" s="158"/>
      <c r="Q6" s="249"/>
      <c r="R6" s="250"/>
      <c r="S6" s="367"/>
      <c r="T6" s="157"/>
      <c r="U6" s="158"/>
      <c r="V6" s="158"/>
      <c r="W6" s="158"/>
      <c r="X6" s="158"/>
      <c r="Y6" s="158"/>
      <c r="Z6" s="307"/>
      <c r="AA6" s="307"/>
      <c r="AB6" s="308"/>
      <c r="AC6" s="56"/>
      <c r="AD6" s="167"/>
      <c r="AE6" s="168"/>
      <c r="AF6" s="183"/>
      <c r="AG6" s="183"/>
      <c r="AH6" s="183"/>
      <c r="AI6" s="183"/>
      <c r="AJ6" s="183"/>
      <c r="AK6" s="183"/>
      <c r="AL6" s="168"/>
      <c r="AM6" s="168"/>
      <c r="AN6" s="189"/>
      <c r="AO6" s="22"/>
      <c r="AQ6" s="1" t="s">
        <v>80</v>
      </c>
      <c r="AR6" s="2"/>
    </row>
    <row r="7" spans="1:44" ht="30.75" customHeight="1">
      <c r="A7" s="2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1"/>
      <c r="T7" s="361" t="s">
        <v>174</v>
      </c>
      <c r="U7" s="362"/>
      <c r="V7" s="362"/>
      <c r="W7" s="363"/>
      <c r="X7" s="364" t="str">
        <f>TEXT(ROUNDUP(N($AR$53)/10000,0),"#,###万円;;-")</f>
        <v>-</v>
      </c>
      <c r="Y7" s="362"/>
      <c r="Z7" s="362"/>
      <c r="AA7" s="294"/>
      <c r="AB7" s="134"/>
      <c r="AC7" s="58"/>
      <c r="AD7" s="28" t="s">
        <v>1</v>
      </c>
      <c r="AE7" s="358">
        <f>$AR$8&amp;""</f>
      </c>
      <c r="AF7" s="359"/>
      <c r="AG7" s="359"/>
      <c r="AH7" s="359"/>
      <c r="AI7" s="359"/>
      <c r="AJ7" s="359"/>
      <c r="AK7" s="359"/>
      <c r="AL7" s="359"/>
      <c r="AM7" s="359"/>
      <c r="AN7" s="360"/>
      <c r="AO7" s="22"/>
      <c r="AQ7" s="2" t="s">
        <v>97</v>
      </c>
      <c r="AR7" s="2"/>
    </row>
    <row r="8" spans="1:44" ht="25.5" customHeight="1">
      <c r="A8" s="20"/>
      <c r="B8" s="198">
        <f>$AR$37&amp;""</f>
      </c>
      <c r="C8" s="198"/>
      <c r="D8" s="198"/>
      <c r="E8" s="198"/>
      <c r="F8" s="198"/>
      <c r="G8" s="198"/>
      <c r="H8" s="198"/>
      <c r="I8" s="198"/>
      <c r="J8" s="198"/>
      <c r="K8" s="10"/>
      <c r="L8" s="10"/>
      <c r="M8" s="10"/>
      <c r="N8" s="10"/>
      <c r="O8" s="10"/>
      <c r="P8" s="10"/>
      <c r="Q8" s="10"/>
      <c r="R8" s="10"/>
      <c r="S8" s="10"/>
      <c r="T8" s="57"/>
      <c r="U8" s="58"/>
      <c r="V8" s="58"/>
      <c r="W8" s="58"/>
      <c r="X8" s="58"/>
      <c r="Y8" s="58"/>
      <c r="Z8" s="57"/>
      <c r="AA8" s="58"/>
      <c r="AB8" s="58"/>
      <c r="AC8" s="58"/>
      <c r="AD8" s="61"/>
      <c r="AE8" s="62"/>
      <c r="AF8" s="10"/>
      <c r="AG8" s="10"/>
      <c r="AH8" s="10"/>
      <c r="AI8" s="10"/>
      <c r="AJ8" s="10"/>
      <c r="AK8" s="10"/>
      <c r="AL8" s="10"/>
      <c r="AM8" s="10"/>
      <c r="AN8" s="10"/>
      <c r="AO8" s="22"/>
      <c r="AQ8" s="2" t="s">
        <v>101</v>
      </c>
      <c r="AR8" s="2"/>
    </row>
    <row r="9" spans="1:44" ht="15.75" customHeight="1">
      <c r="A9" s="20"/>
      <c r="B9" s="198"/>
      <c r="C9" s="198"/>
      <c r="D9" s="198"/>
      <c r="E9" s="198"/>
      <c r="F9" s="198"/>
      <c r="G9" s="198"/>
      <c r="H9" s="198"/>
      <c r="I9" s="198"/>
      <c r="J9" s="198"/>
      <c r="K9" s="32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10"/>
      <c r="AD9" s="120" t="s">
        <v>2</v>
      </c>
      <c r="AE9" s="319" t="s">
        <v>3</v>
      </c>
      <c r="AF9" s="346"/>
      <c r="AG9" s="346"/>
      <c r="AH9" s="347"/>
      <c r="AI9" s="97" t="str">
        <f>IF($AR$9&lt;&gt;"",$AR$9&amp;"","-")</f>
        <v>-</v>
      </c>
      <c r="AJ9" s="98"/>
      <c r="AK9" s="98"/>
      <c r="AL9" s="98"/>
      <c r="AM9" s="98"/>
      <c r="AN9" s="99"/>
      <c r="AO9" s="22"/>
      <c r="AQ9" s="1" t="s">
        <v>126</v>
      </c>
      <c r="AR9" s="2"/>
    </row>
    <row r="10" spans="1:44" ht="15.75" customHeight="1">
      <c r="A10" s="20"/>
      <c r="B10" s="198"/>
      <c r="C10" s="198"/>
      <c r="D10" s="198"/>
      <c r="E10" s="198"/>
      <c r="F10" s="198"/>
      <c r="G10" s="198"/>
      <c r="H10" s="198"/>
      <c r="I10" s="198"/>
      <c r="J10" s="198"/>
      <c r="K10" s="10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10"/>
      <c r="AD10" s="121"/>
      <c r="AE10" s="319" t="s">
        <v>4</v>
      </c>
      <c r="AF10" s="346"/>
      <c r="AG10" s="346"/>
      <c r="AH10" s="347"/>
      <c r="AI10" s="97" t="str">
        <f>TEXT(N($AR$11),"#,##0.0#㎡;;-")</f>
        <v>-</v>
      </c>
      <c r="AJ10" s="98"/>
      <c r="AK10" s="98"/>
      <c r="AL10" s="98">
        <f>IF($AR$12&lt;&gt;"","("&amp;$AR$12&amp;")","")</f>
      </c>
      <c r="AM10" s="98"/>
      <c r="AN10" s="99"/>
      <c r="AO10" s="22"/>
      <c r="AQ10" s="1" t="s">
        <v>180</v>
      </c>
      <c r="AR10" s="2"/>
    </row>
    <row r="11" spans="1:44" ht="15.75" customHeight="1">
      <c r="A11" s="20"/>
      <c r="B11" s="198"/>
      <c r="C11" s="198"/>
      <c r="D11" s="198"/>
      <c r="E11" s="198"/>
      <c r="F11" s="198"/>
      <c r="G11" s="198"/>
      <c r="H11" s="198"/>
      <c r="I11" s="198"/>
      <c r="J11" s="198"/>
      <c r="K11" s="10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10"/>
      <c r="AD11" s="121"/>
      <c r="AE11" s="319" t="s">
        <v>51</v>
      </c>
      <c r="AF11" s="346"/>
      <c r="AG11" s="346"/>
      <c r="AH11" s="347"/>
      <c r="AI11" s="216" t="str">
        <f>TEXT(N($AR$13),"#,##0.0#㎡;;-")</f>
        <v>-</v>
      </c>
      <c r="AJ11" s="217"/>
      <c r="AK11" s="217"/>
      <c r="AL11" s="98">
        <f>IF($AR$14&lt;&gt;"","("&amp;$AR$14&amp;")","")</f>
      </c>
      <c r="AM11" s="98"/>
      <c r="AN11" s="99"/>
      <c r="AO11" s="22"/>
      <c r="AQ11" s="1" t="s">
        <v>164</v>
      </c>
      <c r="AR11" s="2"/>
    </row>
    <row r="12" spans="1:44" ht="15.75" customHeight="1">
      <c r="A12" s="20"/>
      <c r="B12" s="198"/>
      <c r="C12" s="198"/>
      <c r="D12" s="198"/>
      <c r="E12" s="198"/>
      <c r="F12" s="198"/>
      <c r="G12" s="198"/>
      <c r="H12" s="198"/>
      <c r="I12" s="198"/>
      <c r="J12" s="198"/>
      <c r="K12" s="32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10"/>
      <c r="AD12" s="121"/>
      <c r="AE12" s="336" t="s">
        <v>5</v>
      </c>
      <c r="AF12" s="349"/>
      <c r="AG12" s="349"/>
      <c r="AH12" s="352"/>
      <c r="AI12" s="97">
        <f>$AR$17&amp;IF($AR$10&lt;&gt;""," ("&amp;$AR$10&amp;")","")</f>
      </c>
      <c r="AJ12" s="98"/>
      <c r="AK12" s="98"/>
      <c r="AL12" s="98"/>
      <c r="AM12" s="98"/>
      <c r="AN12" s="99"/>
      <c r="AO12" s="22"/>
      <c r="AQ12" s="1" t="s">
        <v>125</v>
      </c>
      <c r="AR12" s="2"/>
    </row>
    <row r="13" spans="1:44" ht="15.75" customHeight="1">
      <c r="A13" s="20"/>
      <c r="B13" s="198"/>
      <c r="C13" s="198"/>
      <c r="D13" s="198"/>
      <c r="E13" s="198"/>
      <c r="F13" s="198"/>
      <c r="G13" s="198"/>
      <c r="H13" s="198"/>
      <c r="I13" s="198"/>
      <c r="J13" s="198"/>
      <c r="K13" s="32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10"/>
      <c r="AD13" s="121"/>
      <c r="AE13" s="10"/>
      <c r="AF13" s="10"/>
      <c r="AG13" s="10"/>
      <c r="AH13" s="75"/>
      <c r="AI13" s="97">
        <f>$AR$18&amp;""</f>
      </c>
      <c r="AJ13" s="98"/>
      <c r="AK13" s="98"/>
      <c r="AL13" s="98"/>
      <c r="AM13" s="98"/>
      <c r="AN13" s="99"/>
      <c r="AO13" s="22"/>
      <c r="AQ13" s="1" t="s">
        <v>168</v>
      </c>
      <c r="AR13" s="2"/>
    </row>
    <row r="14" spans="1:44" ht="15.75" customHeight="1">
      <c r="A14" s="20"/>
      <c r="B14" s="198"/>
      <c r="C14" s="198"/>
      <c r="D14" s="198"/>
      <c r="E14" s="198"/>
      <c r="F14" s="198"/>
      <c r="G14" s="198"/>
      <c r="H14" s="198"/>
      <c r="I14" s="198"/>
      <c r="J14" s="198"/>
      <c r="K14" s="32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10"/>
      <c r="AD14" s="121"/>
      <c r="AE14" s="10"/>
      <c r="AF14" s="10"/>
      <c r="AG14" s="10"/>
      <c r="AH14" s="75"/>
      <c r="AI14" s="97">
        <f>$AR$19&amp;""</f>
      </c>
      <c r="AJ14" s="98"/>
      <c r="AK14" s="98"/>
      <c r="AL14" s="98"/>
      <c r="AM14" s="98"/>
      <c r="AN14" s="99"/>
      <c r="AO14" s="22"/>
      <c r="AQ14" s="1" t="s">
        <v>169</v>
      </c>
      <c r="AR14" s="12"/>
    </row>
    <row r="15" spans="1:44" ht="15.75" customHeight="1">
      <c r="A15" s="20"/>
      <c r="B15" s="198"/>
      <c r="C15" s="198"/>
      <c r="D15" s="198"/>
      <c r="E15" s="198"/>
      <c r="F15" s="198"/>
      <c r="G15" s="198"/>
      <c r="H15" s="198"/>
      <c r="I15" s="198"/>
      <c r="J15" s="198"/>
      <c r="K15" s="32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10"/>
      <c r="AD15" s="121"/>
      <c r="AE15" s="92"/>
      <c r="AF15" s="92"/>
      <c r="AG15" s="92"/>
      <c r="AH15" s="93"/>
      <c r="AI15" s="97">
        <f>$AR$20&amp;""</f>
      </c>
      <c r="AJ15" s="98"/>
      <c r="AK15" s="98"/>
      <c r="AL15" s="98"/>
      <c r="AM15" s="98"/>
      <c r="AN15" s="99"/>
      <c r="AO15" s="22"/>
      <c r="AQ15" s="1" t="s">
        <v>149</v>
      </c>
      <c r="AR15" s="2"/>
    </row>
    <row r="16" spans="1:44" ht="15.75" customHeight="1">
      <c r="A16" s="20"/>
      <c r="B16" s="198"/>
      <c r="C16" s="198"/>
      <c r="D16" s="198"/>
      <c r="E16" s="198"/>
      <c r="F16" s="198"/>
      <c r="G16" s="198"/>
      <c r="H16" s="198"/>
      <c r="I16" s="198"/>
      <c r="J16" s="198"/>
      <c r="K16" s="10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10"/>
      <c r="AD16" s="121"/>
      <c r="AE16" s="348" t="s">
        <v>72</v>
      </c>
      <c r="AF16" s="349"/>
      <c r="AG16" s="349"/>
      <c r="AH16" s="349"/>
      <c r="AI16" s="230" t="str">
        <f>$AR$21&amp;" "&amp;$AS$22</f>
        <v>  </v>
      </c>
      <c r="AJ16" s="231"/>
      <c r="AK16" s="231"/>
      <c r="AL16" s="231"/>
      <c r="AM16" s="231"/>
      <c r="AN16" s="232"/>
      <c r="AO16" s="22"/>
      <c r="AQ16" s="2" t="s">
        <v>133</v>
      </c>
      <c r="AR16" s="2"/>
    </row>
    <row r="17" spans="1:44" ht="15.75" customHeight="1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32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10"/>
      <c r="AD17" s="121"/>
      <c r="AE17" s="316"/>
      <c r="AF17" s="350"/>
      <c r="AG17" s="350"/>
      <c r="AH17" s="350"/>
      <c r="AI17" s="355">
        <f>TEXT(N($AR$36),"#,###,###円""/""月;;")</f>
      </c>
      <c r="AJ17" s="356"/>
      <c r="AK17" s="356"/>
      <c r="AL17" s="356"/>
      <c r="AM17" s="356"/>
      <c r="AN17" s="357"/>
      <c r="AO17" s="22"/>
      <c r="AQ17" s="1" t="s">
        <v>128</v>
      </c>
      <c r="AR17" s="2"/>
    </row>
    <row r="18" spans="1:44" ht="15.75" customHeight="1">
      <c r="A18" s="20"/>
      <c r="B18" s="215"/>
      <c r="C18" s="215"/>
      <c r="D18" s="215"/>
      <c r="E18" s="215"/>
      <c r="F18" s="215"/>
      <c r="G18" s="215"/>
      <c r="H18" s="215"/>
      <c r="I18" s="215"/>
      <c r="J18" s="215"/>
      <c r="K18" s="10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10"/>
      <c r="AD18" s="121"/>
      <c r="AE18" s="319" t="s">
        <v>197</v>
      </c>
      <c r="AF18" s="346"/>
      <c r="AG18" s="346"/>
      <c r="AH18" s="347"/>
      <c r="AI18" s="97" t="str">
        <f>IF($AR$23&lt;&gt;"",$AR$23&amp;"","-")</f>
        <v>-</v>
      </c>
      <c r="AJ18" s="98"/>
      <c r="AK18" s="98"/>
      <c r="AL18" s="98"/>
      <c r="AM18" s="98"/>
      <c r="AN18" s="99"/>
      <c r="AO18" s="22"/>
      <c r="AQ18" s="1" t="s">
        <v>129</v>
      </c>
      <c r="AR18" s="2"/>
    </row>
    <row r="19" spans="1:44" ht="15.75" customHeight="1">
      <c r="A19" s="20"/>
      <c r="B19" s="215"/>
      <c r="C19" s="215"/>
      <c r="D19" s="215"/>
      <c r="E19" s="215"/>
      <c r="F19" s="215"/>
      <c r="G19" s="215"/>
      <c r="H19" s="215"/>
      <c r="I19" s="215"/>
      <c r="J19" s="215"/>
      <c r="K19" s="1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10"/>
      <c r="AD19" s="121"/>
      <c r="AE19" s="319" t="s">
        <v>8</v>
      </c>
      <c r="AF19" s="346"/>
      <c r="AG19" s="346"/>
      <c r="AH19" s="347"/>
      <c r="AI19" s="97" t="str">
        <f>IF($AR$24&lt;&gt;"",$AR$24&amp;"","-")</f>
        <v>-</v>
      </c>
      <c r="AJ19" s="98"/>
      <c r="AK19" s="98"/>
      <c r="AL19" s="98"/>
      <c r="AM19" s="98"/>
      <c r="AN19" s="99"/>
      <c r="AO19" s="22"/>
      <c r="AQ19" s="1" t="s">
        <v>130</v>
      </c>
      <c r="AR19" s="2"/>
    </row>
    <row r="20" spans="1:44" ht="15.75" customHeight="1">
      <c r="A20" s="20"/>
      <c r="B20" s="215"/>
      <c r="C20" s="215"/>
      <c r="D20" s="215"/>
      <c r="E20" s="215"/>
      <c r="F20" s="215"/>
      <c r="G20" s="215"/>
      <c r="H20" s="215"/>
      <c r="I20" s="215"/>
      <c r="J20" s="215"/>
      <c r="K20" s="32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10"/>
      <c r="AD20" s="121"/>
      <c r="AE20" s="319" t="s">
        <v>9</v>
      </c>
      <c r="AF20" s="346"/>
      <c r="AG20" s="346"/>
      <c r="AH20" s="347"/>
      <c r="AI20" s="97" t="str">
        <f>TEXT(N($AR$25),"#""%"";;-")</f>
        <v>-</v>
      </c>
      <c r="AJ20" s="98"/>
      <c r="AK20" s="98"/>
      <c r="AL20" s="98" t="str">
        <f>TEXT(N($AQ$29),"#""%"";;-")</f>
        <v>-</v>
      </c>
      <c r="AM20" s="98"/>
      <c r="AN20" s="99"/>
      <c r="AO20" s="22"/>
      <c r="AQ20" s="1" t="s">
        <v>131</v>
      </c>
      <c r="AR20" s="2"/>
    </row>
    <row r="21" spans="1:44" ht="15.75" customHeight="1">
      <c r="A21" s="20"/>
      <c r="B21" s="215"/>
      <c r="C21" s="215"/>
      <c r="D21" s="215"/>
      <c r="E21" s="215"/>
      <c r="F21" s="215"/>
      <c r="G21" s="215"/>
      <c r="H21" s="215"/>
      <c r="I21" s="215"/>
      <c r="J21" s="215"/>
      <c r="K21" s="32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10"/>
      <c r="AD21" s="121"/>
      <c r="AE21" s="319" t="s">
        <v>10</v>
      </c>
      <c r="AF21" s="346"/>
      <c r="AG21" s="346"/>
      <c r="AH21" s="347"/>
      <c r="AI21" s="97" t="str">
        <f>TEXT(N($AR$26),"#""%"";;-")</f>
        <v>-</v>
      </c>
      <c r="AJ21" s="98"/>
      <c r="AK21" s="98"/>
      <c r="AL21" s="98" t="str">
        <f>TEXT(N($AQ$29),"#""%"";;-")</f>
        <v>-</v>
      </c>
      <c r="AM21" s="98"/>
      <c r="AN21" s="99"/>
      <c r="AO21" s="22"/>
      <c r="AQ21" s="1" t="s">
        <v>132</v>
      </c>
      <c r="AR21" s="2"/>
    </row>
    <row r="22" spans="1:45" ht="15.75" customHeight="1">
      <c r="A22" s="20"/>
      <c r="B22" s="215"/>
      <c r="C22" s="215"/>
      <c r="D22" s="215"/>
      <c r="E22" s="215"/>
      <c r="F22" s="215"/>
      <c r="G22" s="215"/>
      <c r="H22" s="215"/>
      <c r="I22" s="215"/>
      <c r="J22" s="215"/>
      <c r="K22" s="1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10"/>
      <c r="AD22" s="121"/>
      <c r="AE22" s="319" t="s">
        <v>198</v>
      </c>
      <c r="AF22" s="346"/>
      <c r="AG22" s="346"/>
      <c r="AH22" s="347"/>
      <c r="AI22" s="97" t="str">
        <f>IF(N($AR$29)&lt;&gt;0,TEXT($AR$29,"#,##0.0#㎡;;"),IF(AR28&lt;&gt;"",AR28&amp;"","-"))</f>
        <v>-</v>
      </c>
      <c r="AJ22" s="98"/>
      <c r="AK22" s="98"/>
      <c r="AL22" s="98"/>
      <c r="AM22" s="98"/>
      <c r="AN22" s="99"/>
      <c r="AO22" s="22"/>
      <c r="AQ22" s="2" t="s">
        <v>107</v>
      </c>
      <c r="AR22" s="2"/>
      <c r="AS22" s="1" t="str">
        <f>IF($AR$22&lt;&gt;"","( "&amp;$AR$22&amp;")"," ")</f>
        <v> </v>
      </c>
    </row>
    <row r="23" spans="1:44" ht="15.75" customHeight="1">
      <c r="A23" s="20"/>
      <c r="B23" s="215"/>
      <c r="C23" s="215"/>
      <c r="D23" s="215"/>
      <c r="E23" s="215"/>
      <c r="F23" s="215"/>
      <c r="G23" s="215"/>
      <c r="H23" s="215"/>
      <c r="I23" s="215"/>
      <c r="J23" s="215"/>
      <c r="K23" s="1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10"/>
      <c r="AD23" s="121"/>
      <c r="AE23" s="319" t="s">
        <v>11</v>
      </c>
      <c r="AF23" s="346"/>
      <c r="AG23" s="346"/>
      <c r="AH23" s="347"/>
      <c r="AI23" s="216" t="str">
        <f>IF($AR$32&lt;&gt;"",$AR$32&amp;"","-")</f>
        <v>-</v>
      </c>
      <c r="AJ23" s="217"/>
      <c r="AK23" s="217"/>
      <c r="AL23" s="217"/>
      <c r="AM23" s="217"/>
      <c r="AN23" s="218"/>
      <c r="AO23" s="22"/>
      <c r="AQ23" s="2" t="s">
        <v>26</v>
      </c>
      <c r="AR23" s="2"/>
    </row>
    <row r="24" spans="1:44" ht="15.75" customHeight="1">
      <c r="A24" s="20"/>
      <c r="B24" s="215"/>
      <c r="C24" s="215"/>
      <c r="D24" s="215"/>
      <c r="E24" s="215"/>
      <c r="F24" s="215"/>
      <c r="G24" s="215"/>
      <c r="H24" s="215"/>
      <c r="I24" s="215"/>
      <c r="J24" s="215"/>
      <c r="K24" s="1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10"/>
      <c r="AD24" s="121"/>
      <c r="AE24" s="339" t="s">
        <v>23</v>
      </c>
      <c r="AF24" s="353"/>
      <c r="AG24" s="353"/>
      <c r="AH24" s="354"/>
      <c r="AI24" s="216" t="str">
        <f>IF($AR$30&lt;&gt;"",$AR$30&amp;"","-")</f>
        <v>-</v>
      </c>
      <c r="AJ24" s="217"/>
      <c r="AK24" s="217"/>
      <c r="AL24" s="217"/>
      <c r="AM24" s="217"/>
      <c r="AN24" s="218"/>
      <c r="AO24" s="22"/>
      <c r="AQ24" s="2" t="s">
        <v>27</v>
      </c>
      <c r="AR24" s="2"/>
    </row>
    <row r="25" spans="1:44" ht="15.75" customHeight="1">
      <c r="A25" s="20"/>
      <c r="B25" s="215"/>
      <c r="C25" s="215"/>
      <c r="D25" s="215"/>
      <c r="E25" s="215"/>
      <c r="F25" s="215"/>
      <c r="G25" s="215"/>
      <c r="H25" s="215"/>
      <c r="I25" s="215"/>
      <c r="J25" s="215"/>
      <c r="K25" s="1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10"/>
      <c r="AD25" s="122"/>
      <c r="AE25" s="319" t="s">
        <v>183</v>
      </c>
      <c r="AF25" s="346"/>
      <c r="AG25" s="346"/>
      <c r="AH25" s="347"/>
      <c r="AI25" s="216" t="str">
        <f>IF($AR$31&lt;&gt;"",$AR$31&amp;"","-")</f>
        <v>-</v>
      </c>
      <c r="AJ25" s="217"/>
      <c r="AK25" s="217"/>
      <c r="AL25" s="217"/>
      <c r="AM25" s="217"/>
      <c r="AN25" s="218"/>
      <c r="AO25" s="22"/>
      <c r="AQ25" s="2" t="s">
        <v>33</v>
      </c>
      <c r="AR25" s="2"/>
    </row>
    <row r="26" spans="1:44" ht="15.75" customHeight="1">
      <c r="A26" s="20"/>
      <c r="B26" s="215"/>
      <c r="C26" s="215"/>
      <c r="D26" s="215"/>
      <c r="E26" s="215"/>
      <c r="F26" s="215"/>
      <c r="G26" s="215"/>
      <c r="H26" s="215"/>
      <c r="I26" s="215"/>
      <c r="J26" s="215"/>
      <c r="K26" s="1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10"/>
      <c r="AD26" s="344" t="s">
        <v>12</v>
      </c>
      <c r="AE26" s="225">
        <f>IF($AR$33&lt;&gt;"",$AR$33&amp;CHAR(10),"")&amp;$AR$54</f>
      </c>
      <c r="AF26" s="225"/>
      <c r="AG26" s="225"/>
      <c r="AH26" s="225"/>
      <c r="AI26" s="225"/>
      <c r="AJ26" s="225"/>
      <c r="AK26" s="225"/>
      <c r="AL26" s="225"/>
      <c r="AM26" s="225"/>
      <c r="AN26" s="225"/>
      <c r="AO26" s="22"/>
      <c r="AQ26" s="2" t="s">
        <v>34</v>
      </c>
      <c r="AR26" s="2"/>
    </row>
    <row r="27" spans="1:44" ht="15.75" customHeight="1">
      <c r="A27" s="20"/>
      <c r="B27" s="215"/>
      <c r="C27" s="215"/>
      <c r="D27" s="215"/>
      <c r="E27" s="215"/>
      <c r="F27" s="215"/>
      <c r="G27" s="215"/>
      <c r="H27" s="215"/>
      <c r="I27" s="215"/>
      <c r="J27" s="215"/>
      <c r="K27" s="1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10"/>
      <c r="AD27" s="344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"/>
      <c r="AQ27" s="2"/>
      <c r="AR27" s="2"/>
    </row>
    <row r="28" spans="1:44" ht="15.75" customHeight="1">
      <c r="A28" s="20"/>
      <c r="B28" s="195">
        <f>$AR$51&amp;""</f>
      </c>
      <c r="C28" s="195"/>
      <c r="D28" s="195"/>
      <c r="E28" s="195"/>
      <c r="F28" s="195"/>
      <c r="G28" s="195"/>
      <c r="H28" s="195"/>
      <c r="I28" s="195"/>
      <c r="J28" s="195"/>
      <c r="K28" s="1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10"/>
      <c r="AD28" s="344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"/>
      <c r="AQ28" s="2" t="s">
        <v>137</v>
      </c>
      <c r="AR28" s="2"/>
    </row>
    <row r="29" spans="1:44" ht="15.75" customHeight="1">
      <c r="A29" s="20"/>
      <c r="B29" s="215"/>
      <c r="C29" s="215"/>
      <c r="D29" s="215"/>
      <c r="E29" s="215"/>
      <c r="F29" s="215"/>
      <c r="G29" s="215"/>
      <c r="H29" s="215"/>
      <c r="I29" s="215"/>
      <c r="J29" s="215"/>
      <c r="K29" s="1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10"/>
      <c r="AD29" s="344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"/>
      <c r="AQ29" s="1" t="s">
        <v>188</v>
      </c>
      <c r="AR29" s="2"/>
    </row>
    <row r="30" spans="1:44" ht="15.75" customHeight="1">
      <c r="A30" s="20"/>
      <c r="B30" s="215"/>
      <c r="C30" s="215"/>
      <c r="D30" s="215"/>
      <c r="E30" s="215"/>
      <c r="F30" s="215"/>
      <c r="G30" s="215"/>
      <c r="H30" s="215"/>
      <c r="I30" s="215"/>
      <c r="J30" s="215"/>
      <c r="K30" s="1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10"/>
      <c r="AD30" s="344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"/>
      <c r="AQ30" s="2" t="s">
        <v>109</v>
      </c>
      <c r="AR30" s="2"/>
    </row>
    <row r="31" spans="1:44" ht="15.75" customHeight="1">
      <c r="A31" s="20"/>
      <c r="B31" s="215"/>
      <c r="C31" s="215"/>
      <c r="D31" s="215"/>
      <c r="E31" s="215"/>
      <c r="F31" s="215"/>
      <c r="G31" s="215"/>
      <c r="H31" s="215"/>
      <c r="I31" s="215"/>
      <c r="J31" s="215"/>
      <c r="K31" s="1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10"/>
      <c r="AD31" s="344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"/>
      <c r="AQ31" s="2" t="s">
        <v>134</v>
      </c>
      <c r="AR31" s="12"/>
    </row>
    <row r="32" spans="1:44" ht="15.75" customHeight="1">
      <c r="A32" s="20"/>
      <c r="B32" s="215"/>
      <c r="C32" s="215"/>
      <c r="D32" s="215"/>
      <c r="E32" s="215"/>
      <c r="F32" s="215"/>
      <c r="G32" s="215"/>
      <c r="H32" s="215"/>
      <c r="I32" s="215"/>
      <c r="J32" s="215"/>
      <c r="K32" s="10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10"/>
      <c r="AD32" s="344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"/>
      <c r="AQ32" s="1" t="s">
        <v>35</v>
      </c>
      <c r="AR32" s="2"/>
    </row>
    <row r="33" spans="1:44" ht="15.75" customHeight="1">
      <c r="A33" s="20"/>
      <c r="B33" s="215"/>
      <c r="C33" s="215"/>
      <c r="D33" s="215"/>
      <c r="E33" s="215"/>
      <c r="F33" s="215"/>
      <c r="G33" s="215"/>
      <c r="H33" s="215"/>
      <c r="I33" s="215"/>
      <c r="J33" s="215"/>
      <c r="K33" s="10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10"/>
      <c r="AD33" s="344" t="s">
        <v>0</v>
      </c>
      <c r="AE33" s="225">
        <f>IF($AR$34&lt;&gt;"",$AR$34&amp;CHAR(10),"")&amp;IF($AR$35&lt;&gt;"",$AR$35&amp;CHAR(10),"")&amp;IF($AS$56&lt;&gt;"",$AS$56,"")</f>
      </c>
      <c r="AF33" s="225"/>
      <c r="AG33" s="225"/>
      <c r="AH33" s="225"/>
      <c r="AI33" s="225"/>
      <c r="AJ33" s="225"/>
      <c r="AK33" s="225"/>
      <c r="AL33" s="225"/>
      <c r="AM33" s="225"/>
      <c r="AN33" s="225"/>
      <c r="AO33" s="22"/>
      <c r="AQ33" s="2" t="s">
        <v>112</v>
      </c>
      <c r="AR33" s="2"/>
    </row>
    <row r="34" spans="1:44" ht="15.75" customHeight="1">
      <c r="A34" s="20"/>
      <c r="B34" s="215"/>
      <c r="C34" s="215"/>
      <c r="D34" s="215"/>
      <c r="E34" s="215"/>
      <c r="F34" s="215"/>
      <c r="G34" s="215"/>
      <c r="H34" s="215"/>
      <c r="I34" s="215"/>
      <c r="J34" s="215"/>
      <c r="K34" s="94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10"/>
      <c r="AD34" s="344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"/>
      <c r="AQ34" s="1" t="s">
        <v>166</v>
      </c>
      <c r="AR34" s="2"/>
    </row>
    <row r="35" spans="1:44" ht="15.75" customHeight="1">
      <c r="A35" s="20"/>
      <c r="B35" s="215"/>
      <c r="C35" s="215"/>
      <c r="D35" s="215"/>
      <c r="E35" s="215"/>
      <c r="F35" s="215"/>
      <c r="G35" s="215"/>
      <c r="H35" s="215"/>
      <c r="I35" s="215"/>
      <c r="J35" s="215"/>
      <c r="K35" s="94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10"/>
      <c r="AD35" s="344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"/>
      <c r="AQ35" s="2" t="s">
        <v>55</v>
      </c>
      <c r="AR35" s="2"/>
    </row>
    <row r="36" spans="1:44" ht="15.75" customHeight="1">
      <c r="A36" s="20"/>
      <c r="B36" s="215"/>
      <c r="C36" s="215"/>
      <c r="D36" s="215"/>
      <c r="E36" s="215"/>
      <c r="F36" s="215"/>
      <c r="G36" s="215"/>
      <c r="H36" s="215"/>
      <c r="I36" s="215"/>
      <c r="J36" s="215"/>
      <c r="K36" s="94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10"/>
      <c r="AD36" s="344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"/>
      <c r="AQ36" s="2" t="s">
        <v>165</v>
      </c>
      <c r="AR36" s="2"/>
    </row>
    <row r="37" spans="1:44" ht="15.75" customHeight="1">
      <c r="A37" s="20"/>
      <c r="B37" s="215"/>
      <c r="C37" s="215"/>
      <c r="D37" s="215"/>
      <c r="E37" s="215"/>
      <c r="F37" s="215"/>
      <c r="G37" s="215"/>
      <c r="H37" s="215"/>
      <c r="I37" s="215"/>
      <c r="J37" s="215"/>
      <c r="K37" s="94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10"/>
      <c r="AD37" s="344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"/>
      <c r="AQ37" s="2" t="s">
        <v>117</v>
      </c>
      <c r="AR37" s="2"/>
    </row>
    <row r="38" spans="1:44" ht="15.75" customHeight="1">
      <c r="A38" s="20"/>
      <c r="B38" s="215"/>
      <c r="C38" s="215"/>
      <c r="D38" s="215"/>
      <c r="E38" s="215"/>
      <c r="F38" s="215"/>
      <c r="G38" s="215"/>
      <c r="H38" s="215"/>
      <c r="I38" s="215"/>
      <c r="J38" s="215"/>
      <c r="K38" s="94"/>
      <c r="L38" s="345">
        <f>$AR$50&amp;""</f>
      </c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10"/>
      <c r="AD38" s="344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"/>
      <c r="AQ38" s="2" t="s">
        <v>113</v>
      </c>
      <c r="AR38" s="2"/>
    </row>
    <row r="39" spans="1:44" ht="15.75" customHeight="1">
      <c r="A39" s="20"/>
      <c r="B39" s="195">
        <f>$AR$52&amp;""</f>
      </c>
      <c r="C39" s="195"/>
      <c r="D39" s="195"/>
      <c r="E39" s="195"/>
      <c r="F39" s="195"/>
      <c r="G39" s="195"/>
      <c r="H39" s="195"/>
      <c r="I39" s="195"/>
      <c r="J39" s="195"/>
      <c r="K39" s="94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10"/>
      <c r="AD39" s="125" t="s">
        <v>13</v>
      </c>
      <c r="AE39" s="126"/>
      <c r="AF39" s="126"/>
      <c r="AG39" s="126"/>
      <c r="AH39" s="127"/>
      <c r="AI39" s="97">
        <f>$AR$38&amp;""</f>
      </c>
      <c r="AJ39" s="98"/>
      <c r="AK39" s="98"/>
      <c r="AL39" s="98"/>
      <c r="AM39" s="98"/>
      <c r="AN39" s="99"/>
      <c r="AO39" s="22"/>
      <c r="AQ39" s="2" t="s">
        <v>114</v>
      </c>
      <c r="AR39" s="2"/>
    </row>
    <row r="40" spans="1:44" ht="9.75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0"/>
      <c r="AC40" s="10"/>
      <c r="AD40" s="38"/>
      <c r="AE40" s="38"/>
      <c r="AF40" s="39"/>
      <c r="AG40" s="39"/>
      <c r="AH40" s="39"/>
      <c r="AI40" s="37"/>
      <c r="AJ40" s="37"/>
      <c r="AK40" s="37"/>
      <c r="AL40" s="37"/>
      <c r="AM40" s="37"/>
      <c r="AN40" s="37"/>
      <c r="AO40" s="40"/>
      <c r="AQ40" s="1" t="s">
        <v>118</v>
      </c>
      <c r="AR40" s="2"/>
    </row>
    <row r="41" spans="1:44" ht="29.25" customHeight="1" thickBot="1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1" t="s">
        <v>50</v>
      </c>
      <c r="O41" s="9"/>
      <c r="P41" s="9"/>
      <c r="Q41" s="9"/>
      <c r="R41" s="9"/>
      <c r="S41" s="9"/>
      <c r="T41" s="9"/>
      <c r="U41" s="9"/>
      <c r="V41" s="9"/>
      <c r="W41" s="9" t="s">
        <v>56</v>
      </c>
      <c r="X41" s="9"/>
      <c r="Y41" s="9"/>
      <c r="Z41" s="9"/>
      <c r="AA41" s="9"/>
      <c r="AB41" s="42"/>
      <c r="AC41" s="42"/>
      <c r="AD41" s="43"/>
      <c r="AE41" s="42"/>
      <c r="AF41" s="9"/>
      <c r="AG41" s="9"/>
      <c r="AH41" s="9"/>
      <c r="AI41" s="9"/>
      <c r="AJ41" s="9"/>
      <c r="AK41" s="9"/>
      <c r="AL41" s="9"/>
      <c r="AM41" s="9"/>
      <c r="AN41" s="44"/>
      <c r="AO41" s="45" t="s">
        <v>74</v>
      </c>
      <c r="AQ41" s="1" t="s">
        <v>115</v>
      </c>
      <c r="AR41" s="2"/>
    </row>
    <row r="42" spans="1:44" ht="6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Q42" s="1" t="s">
        <v>119</v>
      </c>
      <c r="AR42" s="2"/>
    </row>
    <row r="43" spans="1:44" ht="15.75" customHeight="1">
      <c r="A43" s="20"/>
      <c r="B43" s="145">
        <f>$AR$39&amp;""</f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50">
        <f>IF($AR$42&lt;&gt;"","TEL "&amp;$AR$42,"")</f>
      </c>
      <c r="U43" s="150"/>
      <c r="V43" s="150"/>
      <c r="W43" s="150"/>
      <c r="X43" s="150"/>
      <c r="Y43" s="150"/>
      <c r="Z43" s="150"/>
      <c r="AA43" s="150"/>
      <c r="AB43" s="150"/>
      <c r="AC43" s="46"/>
      <c r="AD43" s="10"/>
      <c r="AE43" s="10"/>
      <c r="AF43" s="10"/>
      <c r="AG43" s="10"/>
      <c r="AH43" s="10"/>
      <c r="AI43" s="10"/>
      <c r="AJ43" s="10"/>
      <c r="AK43" s="10"/>
      <c r="AL43" s="10"/>
      <c r="AM43" s="31"/>
      <c r="AN43" s="31"/>
      <c r="AO43" s="22"/>
      <c r="AQ43" s="1" t="s">
        <v>120</v>
      </c>
      <c r="AR43" s="2"/>
    </row>
    <row r="44" spans="1:44" ht="18.75" customHeight="1">
      <c r="A44" s="20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50"/>
      <c r="U44" s="150"/>
      <c r="V44" s="150"/>
      <c r="W44" s="150"/>
      <c r="X44" s="150"/>
      <c r="Y44" s="150"/>
      <c r="Z44" s="150"/>
      <c r="AA44" s="150"/>
      <c r="AB44" s="150"/>
      <c r="AC44" s="46"/>
      <c r="AD44" s="10"/>
      <c r="AE44" s="10"/>
      <c r="AF44" s="10"/>
      <c r="AG44" s="141" t="s">
        <v>42</v>
      </c>
      <c r="AH44" s="142"/>
      <c r="AI44" s="142"/>
      <c r="AJ44" s="133">
        <f>$AR$47&amp;""</f>
      </c>
      <c r="AK44" s="294"/>
      <c r="AL44" s="294"/>
      <c r="AM44" s="77">
        <f>$AR$48&amp;""</f>
      </c>
      <c r="AN44" s="31"/>
      <c r="AO44" s="22"/>
      <c r="AQ44" s="1" t="s">
        <v>121</v>
      </c>
      <c r="AR44" s="2"/>
    </row>
    <row r="45" spans="1:44" ht="18.75" customHeight="1">
      <c r="A45" s="20"/>
      <c r="B45" s="52"/>
      <c r="C45" s="152">
        <f>$AR$40&amp;""</f>
      </c>
      <c r="D45" s="152"/>
      <c r="E45" s="152"/>
      <c r="F45" s="152">
        <f>$AR$41&amp;""</f>
      </c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0"/>
      <c r="T45" s="149">
        <f>IF($AR$43&lt;&gt;"","FAX  "&amp;$AR$43,"")</f>
      </c>
      <c r="U45" s="149"/>
      <c r="V45" s="149"/>
      <c r="W45" s="149"/>
      <c r="X45" s="149"/>
      <c r="Y45" s="149"/>
      <c r="Z45" s="149"/>
      <c r="AA45" s="149"/>
      <c r="AB45" s="149"/>
      <c r="AC45" s="10"/>
      <c r="AD45" s="10"/>
      <c r="AE45" s="10"/>
      <c r="AF45" s="10"/>
      <c r="AG45" s="141" t="s">
        <v>52</v>
      </c>
      <c r="AH45" s="142"/>
      <c r="AI45" s="142"/>
      <c r="AJ45" s="133" t="str">
        <f>IF(ISNUMBER($AR$49),$AR$49&amp;"%",IF($AR$49&lt;&gt;"",$AR$49&amp;"","-"))</f>
        <v>-</v>
      </c>
      <c r="AK45" s="295"/>
      <c r="AL45" s="295"/>
      <c r="AM45" s="296"/>
      <c r="AN45" s="31"/>
      <c r="AO45" s="22"/>
      <c r="AQ45" s="1" t="s">
        <v>124</v>
      </c>
      <c r="AR45" s="2"/>
    </row>
    <row r="46" spans="1:44" ht="7.5" customHeight="1">
      <c r="A46" s="20"/>
      <c r="B46" s="5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31"/>
      <c r="AG46" s="31"/>
      <c r="AH46" s="31"/>
      <c r="AI46" s="31"/>
      <c r="AJ46" s="31"/>
      <c r="AK46" s="31"/>
      <c r="AL46" s="53"/>
      <c r="AM46" s="31"/>
      <c r="AN46" s="31"/>
      <c r="AO46" s="22"/>
      <c r="AQ46" s="1" t="s">
        <v>116</v>
      </c>
      <c r="AR46" s="2"/>
    </row>
    <row r="47" spans="1:44" ht="18.75" customHeight="1" thickBot="1">
      <c r="A47" s="36"/>
      <c r="B47" s="54"/>
      <c r="C47" s="144">
        <f>$AR$44&amp;""</f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37"/>
      <c r="T47" s="148">
        <f>$AR$45&amp;""</f>
      </c>
      <c r="U47" s="148"/>
      <c r="V47" s="148"/>
      <c r="W47" s="148"/>
      <c r="X47" s="148"/>
      <c r="Y47" s="148"/>
      <c r="Z47" s="148"/>
      <c r="AA47" s="148"/>
      <c r="AB47" s="37"/>
      <c r="AC47" s="37"/>
      <c r="AD47" s="37"/>
      <c r="AE47" s="301" t="s">
        <v>49</v>
      </c>
      <c r="AF47" s="301"/>
      <c r="AG47" s="301"/>
      <c r="AH47" s="301"/>
      <c r="AI47" s="300">
        <f>TEXT($AR$46,"YYYY年MM月DD日;;")</f>
      </c>
      <c r="AJ47" s="300"/>
      <c r="AK47" s="300"/>
      <c r="AL47" s="300"/>
      <c r="AM47" s="300"/>
      <c r="AN47" s="300"/>
      <c r="AO47" s="40"/>
      <c r="AQ47" s="1" t="s">
        <v>154</v>
      </c>
      <c r="AR47" s="2"/>
    </row>
    <row r="48" spans="1:44" ht="14.25">
      <c r="A48" s="2"/>
      <c r="B48" s="2"/>
      <c r="AQ48" s="1" t="s">
        <v>171</v>
      </c>
      <c r="AR48" s="2"/>
    </row>
    <row r="49" spans="43:44" ht="14.25">
      <c r="AQ49" s="1" t="s">
        <v>77</v>
      </c>
      <c r="AR49" s="2"/>
    </row>
    <row r="50" spans="43:44" ht="14.25">
      <c r="AQ50" s="1" t="s">
        <v>144</v>
      </c>
      <c r="AR50" s="2"/>
    </row>
    <row r="51" spans="43:44" ht="14.25">
      <c r="AQ51" s="1" t="s">
        <v>167</v>
      </c>
      <c r="AR51" s="2"/>
    </row>
    <row r="52" ht="14.25">
      <c r="AQ52" s="1" t="s">
        <v>196</v>
      </c>
    </row>
    <row r="53" spans="43:44" ht="14.25">
      <c r="AQ53" s="1" t="s">
        <v>174</v>
      </c>
      <c r="AR53" s="2"/>
    </row>
    <row r="54" spans="4:44" ht="14.25">
      <c r="D54" s="351"/>
      <c r="E54" s="351"/>
      <c r="F54" s="351"/>
      <c r="G54" s="351"/>
      <c r="H54" s="351"/>
      <c r="I54" s="351"/>
      <c r="J54" s="351"/>
      <c r="K54" s="351"/>
      <c r="L54" s="351"/>
      <c r="AQ54" s="1" t="s">
        <v>172</v>
      </c>
      <c r="AR54" s="2"/>
    </row>
    <row r="55" spans="4:44" ht="14.25">
      <c r="D55" s="351"/>
      <c r="E55" s="351"/>
      <c r="F55" s="351"/>
      <c r="G55" s="351"/>
      <c r="H55" s="351"/>
      <c r="I55" s="351"/>
      <c r="J55" s="351"/>
      <c r="K55" s="351"/>
      <c r="L55" s="351"/>
      <c r="AQ55" s="1" t="s">
        <v>175</v>
      </c>
      <c r="AR55" s="2"/>
    </row>
    <row r="56" spans="4:45" ht="14.25">
      <c r="D56" s="351"/>
      <c r="E56" s="351"/>
      <c r="F56" s="351"/>
      <c r="G56" s="351"/>
      <c r="H56" s="351"/>
      <c r="I56" s="351"/>
      <c r="J56" s="351"/>
      <c r="K56" s="351"/>
      <c r="L56" s="351"/>
      <c r="AQ56" s="1" t="s">
        <v>176</v>
      </c>
      <c r="AR56" s="2"/>
      <c r="AS56" s="1">
        <f>IF($AR$55="定期借家権",$AR$55&amp;"につき保証金あり "&amp;IF(N($AR$56)&lt;100,TEXT(N($AR$56),"#ヶ月分;;"),TEXT(N($AR$56),"#,### 円;;")),"")</f>
      </c>
    </row>
    <row r="63" ht="14.25">
      <c r="AR63" s="2"/>
    </row>
    <row r="64" spans="29:44" ht="14.25"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2"/>
    </row>
    <row r="65" spans="29:44" ht="14.25"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2"/>
    </row>
    <row r="66" spans="29:44" ht="14.25"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2"/>
    </row>
    <row r="67" ht="14.25">
      <c r="AR67" s="2"/>
    </row>
    <row r="68" ht="14.25">
      <c r="AR68" s="2"/>
    </row>
    <row r="69" ht="14.25">
      <c r="AR69" s="2"/>
    </row>
    <row r="70" ht="14.25">
      <c r="AR70" s="2"/>
    </row>
    <row r="71" ht="14.25">
      <c r="AR71" s="2"/>
    </row>
    <row r="72" ht="14.25">
      <c r="AR72" s="2"/>
    </row>
    <row r="73" ht="14.25">
      <c r="AR73" s="2"/>
    </row>
  </sheetData>
  <sheetProtection/>
  <mergeCells count="74">
    <mergeCell ref="B2:J6"/>
    <mergeCell ref="S2:S6"/>
    <mergeCell ref="AD2:AI4"/>
    <mergeCell ref="AJ2:AN4"/>
    <mergeCell ref="AD5:AE6"/>
    <mergeCell ref="AF5:AK6"/>
    <mergeCell ref="AL5:AN6"/>
    <mergeCell ref="T7:W7"/>
    <mergeCell ref="T2:Y6"/>
    <mergeCell ref="L2:R6"/>
    <mergeCell ref="X7:AB7"/>
    <mergeCell ref="Z2:AB4"/>
    <mergeCell ref="Z5:AB6"/>
    <mergeCell ref="AI18:AN18"/>
    <mergeCell ref="AI21:AN21"/>
    <mergeCell ref="AE7:AN7"/>
    <mergeCell ref="AI12:AN12"/>
    <mergeCell ref="AE9:AH9"/>
    <mergeCell ref="AE10:AH10"/>
    <mergeCell ref="AI9:AN9"/>
    <mergeCell ref="AI10:AK10"/>
    <mergeCell ref="AL11:AN11"/>
    <mergeCell ref="AL10:AN10"/>
    <mergeCell ref="AI17:AN17"/>
    <mergeCell ref="AI11:AK11"/>
    <mergeCell ref="AI13:AN13"/>
    <mergeCell ref="AI16:AN16"/>
    <mergeCell ref="AI14:AN14"/>
    <mergeCell ref="AI15:AN15"/>
    <mergeCell ref="AG45:AI45"/>
    <mergeCell ref="AE25:AH25"/>
    <mergeCell ref="AE22:AH22"/>
    <mergeCell ref="AI22:AN22"/>
    <mergeCell ref="AI25:AN25"/>
    <mergeCell ref="AJ45:AM45"/>
    <mergeCell ref="AI24:AN24"/>
    <mergeCell ref="AI23:AN23"/>
    <mergeCell ref="AJ44:AL44"/>
    <mergeCell ref="AE23:AH23"/>
    <mergeCell ref="D54:L56"/>
    <mergeCell ref="AE12:AH12"/>
    <mergeCell ref="AE24:AH24"/>
    <mergeCell ref="C47:R47"/>
    <mergeCell ref="C45:E45"/>
    <mergeCell ref="F45:R45"/>
    <mergeCell ref="AE47:AH47"/>
    <mergeCell ref="T45:AB45"/>
    <mergeCell ref="B8:J16"/>
    <mergeCell ref="T47:AA47"/>
    <mergeCell ref="AI47:AN47"/>
    <mergeCell ref="L9:AB37"/>
    <mergeCell ref="B18:J27"/>
    <mergeCell ref="B28:J28"/>
    <mergeCell ref="B29:J38"/>
    <mergeCell ref="AE33:AN38"/>
    <mergeCell ref="AE19:AH19"/>
    <mergeCell ref="AI19:AN19"/>
    <mergeCell ref="AI20:AN20"/>
    <mergeCell ref="B39:J39"/>
    <mergeCell ref="AD9:AD25"/>
    <mergeCell ref="AE11:AH11"/>
    <mergeCell ref="AE18:AH18"/>
    <mergeCell ref="AE16:AH17"/>
    <mergeCell ref="AE20:AH20"/>
    <mergeCell ref="AE21:AH21"/>
    <mergeCell ref="B43:S44"/>
    <mergeCell ref="AD26:AD32"/>
    <mergeCell ref="AG44:AI44"/>
    <mergeCell ref="AD33:AD38"/>
    <mergeCell ref="L38:AB39"/>
    <mergeCell ref="AI39:AN39"/>
    <mergeCell ref="AE26:AN32"/>
    <mergeCell ref="AD39:AH39"/>
    <mergeCell ref="T43:AB44"/>
  </mergeCells>
  <printOptions horizontalCentered="1"/>
  <pageMargins left="0.3937007874015748" right="0.3937007874015748" top="0.35433070866141736" bottom="0.2362204724409449" header="0.1968503937007874" footer="0.1968503937007874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島田</cp:lastModifiedBy>
  <cp:lastPrinted>2016-12-03T02:56:40Z</cp:lastPrinted>
  <dcterms:created xsi:type="dcterms:W3CDTF">2000-07-20T05:50:46Z</dcterms:created>
  <dcterms:modified xsi:type="dcterms:W3CDTF">2016-12-03T02:56:56Z</dcterms:modified>
  <cp:category/>
  <cp:version/>
  <cp:contentType/>
  <cp:contentStatus/>
</cp:coreProperties>
</file>